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hreadedComments/threadedComment1.xml" ContentType="application/vnd.ms-excel.threadedcomments+xml"/>
  <Override PartName="/xl/comments3.xml" ContentType="application/vnd.openxmlformats-officedocument.spreadsheetml.comments+xml"/>
  <Override PartName="/xl/threadedComments/threadedComment2.xml" ContentType="application/vnd.ms-excel.threadedcomments+xml"/>
  <Override PartName="/xl/comments4.xml" ContentType="application/vnd.openxmlformats-officedocument.spreadsheetml.comments+xml"/>
  <Override PartName="/xl/threadedComments/threadedComment3.xml" ContentType="application/vnd.ms-excel.threadedcomments+xml"/>
  <Override PartName="/xl/comments5.xml" ContentType="application/vnd.openxmlformats-officedocument.spreadsheetml.comments+xml"/>
  <Override PartName="/xl/threadedComments/threadedComment4.xml" ContentType="application/vnd.ms-excel.threadedcomments+xml"/>
  <Override PartName="/xl/comments6.xml" ContentType="application/vnd.openxmlformats-officedocument.spreadsheetml.comments+xml"/>
  <Override PartName="/xl/threadedComments/threadedComment5.xml" ContentType="application/vnd.ms-excel.threadedcomments+xml"/>
  <Override PartName="/xl/comments7.xml" ContentType="application/vnd.openxmlformats-officedocument.spreadsheetml.comments+xml"/>
  <Override PartName="/xl/threadedComments/threadedComment6.xml" ContentType="application/vnd.ms-excel.threadedcomments+xml"/>
  <Override PartName="/xl/comments8.xml" ContentType="application/vnd.openxmlformats-officedocument.spreadsheetml.comments+xml"/>
  <Override PartName="/xl/threadedComments/threadedComment7.xml" ContentType="application/vnd.ms-excel.threadedcomments+xml"/>
  <Override PartName="/xl/comments9.xml" ContentType="application/vnd.openxmlformats-officedocument.spreadsheetml.comments+xml"/>
  <Override PartName="/xl/threadedComments/threadedComment8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dpan\Downloads\"/>
    </mc:Choice>
  </mc:AlternateContent>
  <xr:revisionPtr revIDLastSave="0" documentId="11_8085CD14D923A453EDD041D357FCBB6BA07378DC" xr6:coauthVersionLast="47" xr6:coauthVersionMax="47" xr10:uidLastSave="{00000000-0000-0000-0000-000000000000}"/>
  <bookViews>
    <workbookView xWindow="-120" yWindow="-120" windowWidth="29040" windowHeight="15720" firstSheet="9" activeTab="13" xr2:uid="{00000000-000D-0000-FFFF-FFFF00000000}"/>
  </bookViews>
  <sheets>
    <sheet name="19-31 MAYO" sheetId="5" r:id="rId1"/>
    <sheet name="JUNIO" sheetId="8" r:id="rId2"/>
    <sheet name="1-14 JULIO" sheetId="12" r:id="rId3"/>
    <sheet name="15-31 JULIO" sheetId="13" r:id="rId4"/>
    <sheet name="AGOSTO" sheetId="7" r:id="rId5"/>
    <sheet name="SEPTIEMBRE" sheetId="14" r:id="rId6"/>
    <sheet name="OCTUBRE" sheetId="15" r:id="rId7"/>
    <sheet name="NOVIEMBRE" sheetId="16" r:id="rId8"/>
    <sheet name="1-24 DICIEMBRE" sheetId="17" r:id="rId9"/>
    <sheet name="25-31 DICIEMBRE" sheetId="18" r:id="rId10"/>
    <sheet name="ENERO 2026" sheetId="19" r:id="rId11"/>
    <sheet name="FEBRERO " sheetId="23" r:id="rId12"/>
    <sheet name="MARZO " sheetId="25" r:id="rId13"/>
    <sheet name="ABRIL 14" sheetId="28" r:id="rId14"/>
  </sheets>
  <externalReferences>
    <externalReference r:id="rId15"/>
  </externalReferences>
  <definedNames>
    <definedName name="_xlnm._FilterDatabase" localSheetId="2" hidden="1">'1-14 JULIO'!$B$1:$AI$92</definedName>
    <definedName name="_xlnm._FilterDatabase" localSheetId="8" hidden="1">'1-24 DICIEMBRE'!$B$1:$AI$92</definedName>
    <definedName name="_xlnm._FilterDatabase" localSheetId="3" hidden="1">'15-31 JULIO'!$B$1:$AI$92</definedName>
    <definedName name="_xlnm._FilterDatabase" localSheetId="0" hidden="1">'19-31 MAYO'!$B$1:$AI$91</definedName>
    <definedName name="_xlnm._FilterDatabase" localSheetId="9" hidden="1">'25-31 DICIEMBRE'!$B$1:$AI$92</definedName>
    <definedName name="_xlnm._FilterDatabase" localSheetId="4" hidden="1">AGOSTO!$B$1:$AI$92</definedName>
    <definedName name="_xlnm._FilterDatabase" localSheetId="1" hidden="1">JUNIO!$B$1:$AI$92</definedName>
    <definedName name="_xlnm._FilterDatabase" localSheetId="7" hidden="1">NOVIEMBRE!$B$1:$AI$92</definedName>
    <definedName name="_xlnm._FilterDatabase" localSheetId="6" hidden="1">OCTUBRE!$B$1:$AI$92</definedName>
    <definedName name="_xlnm._FilterDatabase" localSheetId="5" hidden="1">SEPTIEMBRE!$B$1:$AI$92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27" i="28" l="1"/>
  <c r="Y120" i="28"/>
  <c r="Y119" i="28"/>
  <c r="H108" i="28"/>
  <c r="AE97" i="28"/>
  <c r="AC97" i="28"/>
  <c r="AG96" i="28"/>
  <c r="AG97" i="28" s="1"/>
  <c r="AF96" i="28"/>
  <c r="AF97" i="28" s="1"/>
  <c r="AE96" i="28"/>
  <c r="AD96" i="28"/>
  <c r="AD97" i="28" s="1"/>
  <c r="AC96" i="28"/>
  <c r="AB96" i="28"/>
  <c r="AB97" i="28" s="1"/>
  <c r="K95" i="28"/>
  <c r="Z94" i="28"/>
  <c r="Y94" i="28"/>
  <c r="X94" i="28"/>
  <c r="W94" i="28"/>
  <c r="V94" i="28"/>
  <c r="U94" i="28"/>
  <c r="T94" i="28"/>
  <c r="S94" i="28"/>
  <c r="R94" i="28"/>
  <c r="Q94" i="28"/>
  <c r="P94" i="28"/>
  <c r="O94" i="28"/>
  <c r="O95" i="28" s="1"/>
  <c r="N94" i="28"/>
  <c r="M94" i="28"/>
  <c r="M95" i="28" s="1"/>
  <c r="M96" i="28" s="1"/>
  <c r="L94" i="28"/>
  <c r="K94" i="28"/>
  <c r="J94" i="28"/>
  <c r="I94" i="28"/>
  <c r="I95" i="28" s="1"/>
  <c r="I96" i="28" s="1"/>
  <c r="H94" i="28"/>
  <c r="G94" i="28"/>
  <c r="G95" i="28" s="1"/>
  <c r="F94" i="28"/>
  <c r="Z91" i="28"/>
  <c r="Y91" i="28"/>
  <c r="X91" i="28"/>
  <c r="W91" i="28"/>
  <c r="V91" i="28"/>
  <c r="U91" i="28"/>
  <c r="T91" i="28"/>
  <c r="S91" i="28"/>
  <c r="R91" i="28"/>
  <c r="Q91" i="28"/>
  <c r="P91" i="28"/>
  <c r="O91" i="28"/>
  <c r="N91" i="28"/>
  <c r="M91" i="28"/>
  <c r="L91" i="28"/>
  <c r="K91" i="28"/>
  <c r="J91" i="28"/>
  <c r="I91" i="28"/>
  <c r="H91" i="28"/>
  <c r="G91" i="28"/>
  <c r="AG86" i="28"/>
  <c r="AF86" i="28"/>
  <c r="AE86" i="28"/>
  <c r="AD86" i="28"/>
  <c r="AC86" i="28"/>
  <c r="AB86" i="28"/>
  <c r="Z86" i="28"/>
  <c r="Y86" i="28"/>
  <c r="X86" i="28"/>
  <c r="W86" i="28"/>
  <c r="V86" i="28"/>
  <c r="U86" i="28"/>
  <c r="T86" i="28"/>
  <c r="S86" i="28"/>
  <c r="R86" i="28"/>
  <c r="Q86" i="28"/>
  <c r="P86" i="28"/>
  <c r="O86" i="28"/>
  <c r="N86" i="28"/>
  <c r="M86" i="28"/>
  <c r="L86" i="28"/>
  <c r="K86" i="28"/>
  <c r="J86" i="28"/>
  <c r="I86" i="28"/>
  <c r="H86" i="28"/>
  <c r="G86" i="28"/>
  <c r="F86" i="28"/>
  <c r="AG57" i="28"/>
  <c r="AF57" i="28"/>
  <c r="AE57" i="28"/>
  <c r="AC57" i="28"/>
  <c r="Z57" i="28"/>
  <c r="Y57" i="28"/>
  <c r="X57" i="28"/>
  <c r="W57" i="28"/>
  <c r="V57" i="28"/>
  <c r="U57" i="28"/>
  <c r="T57" i="28"/>
  <c r="S57" i="28"/>
  <c r="R57" i="28"/>
  <c r="Q57" i="28"/>
  <c r="P57" i="28"/>
  <c r="O57" i="28"/>
  <c r="N57" i="28"/>
  <c r="M57" i="28"/>
  <c r="L57" i="28"/>
  <c r="K57" i="28"/>
  <c r="J57" i="28"/>
  <c r="I57" i="28"/>
  <c r="H57" i="28"/>
  <c r="G57" i="28"/>
  <c r="F57" i="28"/>
  <c r="AD52" i="28"/>
  <c r="AD57" i="28" s="1"/>
  <c r="AB52" i="28"/>
  <c r="AB57" i="28" s="1"/>
  <c r="AG49" i="28"/>
  <c r="AF49" i="28"/>
  <c r="AE49" i="28"/>
  <c r="AD49" i="28"/>
  <c r="AC49" i="28"/>
  <c r="AB49" i="28"/>
  <c r="Z49" i="28"/>
  <c r="Y49" i="28"/>
  <c r="X49" i="28"/>
  <c r="W49" i="28"/>
  <c r="V49" i="28"/>
  <c r="U49" i="28"/>
  <c r="T49" i="28"/>
  <c r="S49" i="28"/>
  <c r="R49" i="28"/>
  <c r="Q49" i="28"/>
  <c r="P49" i="28"/>
  <c r="O49" i="28"/>
  <c r="N49" i="28"/>
  <c r="M49" i="28"/>
  <c r="L49" i="28"/>
  <c r="K49" i="28"/>
  <c r="J49" i="28"/>
  <c r="I49" i="28"/>
  <c r="H49" i="28"/>
  <c r="G49" i="28"/>
  <c r="F49" i="28"/>
  <c r="AG33" i="28"/>
  <c r="AF33" i="28"/>
  <c r="AE33" i="28"/>
  <c r="AD33" i="28"/>
  <c r="AC33" i="28"/>
  <c r="AB33" i="28"/>
  <c r="Z33" i="28"/>
  <c r="Y33" i="28"/>
  <c r="X33" i="28"/>
  <c r="W33" i="28"/>
  <c r="V33" i="28"/>
  <c r="U33" i="28"/>
  <c r="T33" i="28"/>
  <c r="S33" i="28"/>
  <c r="R33" i="28"/>
  <c r="Q33" i="28"/>
  <c r="P33" i="28"/>
  <c r="O33" i="28"/>
  <c r="N33" i="28"/>
  <c r="M33" i="28"/>
  <c r="L33" i="28"/>
  <c r="K33" i="28"/>
  <c r="J33" i="28"/>
  <c r="I33" i="28"/>
  <c r="H33" i="28"/>
  <c r="G33" i="28"/>
  <c r="F33" i="28"/>
  <c r="AG18" i="28"/>
  <c r="AF18" i="28"/>
  <c r="AE18" i="28"/>
  <c r="AD18" i="28"/>
  <c r="AC18" i="28"/>
  <c r="AB18" i="28"/>
  <c r="E110" i="28" s="1"/>
  <c r="F110" i="28" s="1"/>
  <c r="Z18" i="28"/>
  <c r="Y18" i="28"/>
  <c r="X18" i="28"/>
  <c r="W18" i="28"/>
  <c r="V18" i="28"/>
  <c r="U18" i="28"/>
  <c r="T18" i="28"/>
  <c r="S18" i="28"/>
  <c r="R18" i="28"/>
  <c r="Q18" i="28"/>
  <c r="P18" i="28"/>
  <c r="O18" i="28"/>
  <c r="N18" i="28"/>
  <c r="M18" i="28"/>
  <c r="L18" i="28"/>
  <c r="K18" i="28"/>
  <c r="J18" i="28"/>
  <c r="I18" i="28"/>
  <c r="H18" i="28"/>
  <c r="G18" i="28"/>
  <c r="F18" i="28"/>
  <c r="AG12" i="28"/>
  <c r="AF12" i="28"/>
  <c r="AE12" i="28"/>
  <c r="AD12" i="28"/>
  <c r="AC12" i="28"/>
  <c r="AB12" i="28"/>
  <c r="Z12" i="28"/>
  <c r="Y12" i="28"/>
  <c r="X12" i="28"/>
  <c r="W12" i="28"/>
  <c r="V12" i="28"/>
  <c r="U12" i="28"/>
  <c r="T12" i="28"/>
  <c r="S12" i="28"/>
  <c r="S88" i="28" s="1"/>
  <c r="R12" i="28"/>
  <c r="Q12" i="28"/>
  <c r="P12" i="28"/>
  <c r="O12" i="28"/>
  <c r="N12" i="28"/>
  <c r="M12" i="28"/>
  <c r="L12" i="28"/>
  <c r="K12" i="28"/>
  <c r="K88" i="28" s="1"/>
  <c r="J12" i="28"/>
  <c r="I12" i="28"/>
  <c r="H12" i="28"/>
  <c r="G12" i="28"/>
  <c r="F12" i="28"/>
  <c r="E113" i="28" l="1"/>
  <c r="F113" i="28" s="1"/>
  <c r="E114" i="28"/>
  <c r="F114" i="28" s="1"/>
  <c r="E111" i="28"/>
  <c r="F111" i="28" s="1"/>
  <c r="E109" i="28"/>
  <c r="E112" i="28"/>
  <c r="F112" i="28" s="1"/>
  <c r="AA33" i="28"/>
  <c r="H88" i="28"/>
  <c r="P88" i="28"/>
  <c r="X88" i="28"/>
  <c r="AG102" i="28"/>
  <c r="AA49" i="28"/>
  <c r="I88" i="28"/>
  <c r="I102" i="28" s="1"/>
  <c r="Q88" i="28"/>
  <c r="Q90" i="28" s="1"/>
  <c r="Q92" i="28" s="1"/>
  <c r="Y88" i="28"/>
  <c r="Y90" i="28" s="1"/>
  <c r="Y92" i="28" s="1"/>
  <c r="AC102" i="28"/>
  <c r="AA57" i="28"/>
  <c r="J88" i="28"/>
  <c r="R88" i="28"/>
  <c r="R90" i="28" s="1"/>
  <c r="R92" i="28" s="1"/>
  <c r="Z88" i="28"/>
  <c r="AA18" i="28"/>
  <c r="T88" i="28"/>
  <c r="M88" i="28"/>
  <c r="M101" i="28" s="1"/>
  <c r="F88" i="28"/>
  <c r="F90" i="28" s="1"/>
  <c r="F92" i="28" s="1"/>
  <c r="N88" i="28"/>
  <c r="V88" i="28"/>
  <c r="AE102" i="28"/>
  <c r="AA86" i="28"/>
  <c r="L88" i="28"/>
  <c r="U88" i="28"/>
  <c r="G88" i="28"/>
  <c r="G90" i="28" s="1"/>
  <c r="G92" i="28" s="1"/>
  <c r="O88" i="28"/>
  <c r="O90" i="28" s="1"/>
  <c r="O92" i="28" s="1"/>
  <c r="W88" i="28"/>
  <c r="AF102" i="28"/>
  <c r="G101" i="28"/>
  <c r="I101" i="28"/>
  <c r="I90" i="28"/>
  <c r="I92" i="28" s="1"/>
  <c r="K101" i="28"/>
  <c r="K90" i="28"/>
  <c r="K92" i="28" s="1"/>
  <c r="O101" i="28"/>
  <c r="S90" i="28"/>
  <c r="S92" i="28" s="1"/>
  <c r="U90" i="28"/>
  <c r="U92" i="28" s="1"/>
  <c r="W90" i="28"/>
  <c r="W92" i="28" s="1"/>
  <c r="AA12" i="28"/>
  <c r="AE88" i="28"/>
  <c r="AE101" i="28" s="1"/>
  <c r="H90" i="28"/>
  <c r="H92" i="28" s="1"/>
  <c r="J90" i="28"/>
  <c r="J92" i="28" s="1"/>
  <c r="L90" i="28"/>
  <c r="L92" i="28" s="1"/>
  <c r="N90" i="28"/>
  <c r="N92" i="28" s="1"/>
  <c r="P90" i="28"/>
  <c r="P92" i="28" s="1"/>
  <c r="T90" i="28"/>
  <c r="T92" i="28" s="1"/>
  <c r="V90" i="28"/>
  <c r="V92" i="28" s="1"/>
  <c r="X90" i="28"/>
  <c r="X92" i="28" s="1"/>
  <c r="Z90" i="28"/>
  <c r="Z92" i="28" s="1"/>
  <c r="AC88" i="28"/>
  <c r="AC101" i="28" s="1"/>
  <c r="AG88" i="28"/>
  <c r="AG101" i="28" s="1"/>
  <c r="F96" i="28"/>
  <c r="F102" i="28" s="1"/>
  <c r="Z96" i="28"/>
  <c r="Z102" i="28" s="1"/>
  <c r="R95" i="28"/>
  <c r="R101" i="28" s="1"/>
  <c r="V95" i="28"/>
  <c r="V101" i="28" s="1"/>
  <c r="Z95" i="28"/>
  <c r="Z101" i="28" s="1"/>
  <c r="AB102" i="28"/>
  <c r="AD102" i="28"/>
  <c r="AB88" i="28"/>
  <c r="AB101" i="28" s="1"/>
  <c r="AD88" i="28"/>
  <c r="AD101" i="28" s="1"/>
  <c r="AF88" i="28"/>
  <c r="AF101" i="28" s="1"/>
  <c r="G97" i="28"/>
  <c r="I97" i="28"/>
  <c r="M97" i="28"/>
  <c r="Q95" i="28"/>
  <c r="Q96" i="28" s="1"/>
  <c r="Q102" i="28" s="1"/>
  <c r="S95" i="28"/>
  <c r="S101" i="28" s="1"/>
  <c r="U95" i="28"/>
  <c r="U96" i="28" s="1"/>
  <c r="U102" i="28" s="1"/>
  <c r="W95" i="28"/>
  <c r="W101" i="28" s="1"/>
  <c r="Y95" i="28"/>
  <c r="Y96" i="28" s="1"/>
  <c r="Y102" i="28" s="1"/>
  <c r="F95" i="28"/>
  <c r="H95" i="28"/>
  <c r="H101" i="28" s="1"/>
  <c r="J95" i="28"/>
  <c r="J101" i="28" s="1"/>
  <c r="L95" i="28"/>
  <c r="L101" i="28" s="1"/>
  <c r="N95" i="28"/>
  <c r="N101" i="28" s="1"/>
  <c r="P95" i="28"/>
  <c r="P101" i="28" s="1"/>
  <c r="T95" i="28"/>
  <c r="T101" i="28" s="1"/>
  <c r="X95" i="28"/>
  <c r="X101" i="28" s="1"/>
  <c r="G96" i="28"/>
  <c r="K96" i="28"/>
  <c r="K102" i="28" s="1"/>
  <c r="O96" i="28"/>
  <c r="O102" i="28" s="1"/>
  <c r="S96" i="28"/>
  <c r="S102" i="28" s="1"/>
  <c r="AG103" i="28" l="1"/>
  <c r="O97" i="28"/>
  <c r="AE103" i="28"/>
  <c r="R103" i="28"/>
  <c r="AF103" i="28"/>
  <c r="AC103" i="28"/>
  <c r="AD103" i="28"/>
  <c r="R96" i="28"/>
  <c r="R102" i="28" s="1"/>
  <c r="F97" i="28"/>
  <c r="S103" i="28"/>
  <c r="AB103" i="28"/>
  <c r="N96" i="28"/>
  <c r="J96" i="28"/>
  <c r="J102" i="28" s="1"/>
  <c r="J103" i="28" s="1"/>
  <c r="E115" i="28"/>
  <c r="F109" i="28"/>
  <c r="F115" i="28" s="1"/>
  <c r="Z103" i="28"/>
  <c r="M102" i="28"/>
  <c r="AA88" i="28"/>
  <c r="M90" i="28"/>
  <c r="M92" i="28" s="1"/>
  <c r="G102" i="28"/>
  <c r="G103" i="28" s="1"/>
  <c r="F101" i="28"/>
  <c r="F103" i="28" s="1"/>
  <c r="K97" i="28"/>
  <c r="V96" i="28"/>
  <c r="Z97" i="28"/>
  <c r="R97" i="28"/>
  <c r="W96" i="28"/>
  <c r="W102" i="28" s="1"/>
  <c r="W103" i="28" s="1"/>
  <c r="Y97" i="28"/>
  <c r="U97" i="28"/>
  <c r="S97" i="28"/>
  <c r="Q97" i="28"/>
  <c r="X96" i="28"/>
  <c r="X102" i="28" s="1"/>
  <c r="X103" i="28" s="1"/>
  <c r="T96" i="28"/>
  <c r="T102" i="28" s="1"/>
  <c r="T103" i="28" s="1"/>
  <c r="P96" i="28"/>
  <c r="P102" i="28" s="1"/>
  <c r="P103" i="28" s="1"/>
  <c r="L96" i="28"/>
  <c r="L102" i="28" s="1"/>
  <c r="L103" i="28" s="1"/>
  <c r="H96" i="28"/>
  <c r="H102" i="28" s="1"/>
  <c r="H103" i="28" s="1"/>
  <c r="Y101" i="28"/>
  <c r="Y103" i="28" s="1"/>
  <c r="U101" i="28"/>
  <c r="U103" i="28" s="1"/>
  <c r="Q101" i="28"/>
  <c r="Q103" i="28" s="1"/>
  <c r="O103" i="28"/>
  <c r="M103" i="28"/>
  <c r="K103" i="28"/>
  <c r="I103" i="28"/>
  <c r="Y127" i="25"/>
  <c r="Y120" i="25"/>
  <c r="Y119" i="25"/>
  <c r="H108" i="25"/>
  <c r="AG96" i="25"/>
  <c r="AG97" i="25" s="1"/>
  <c r="AF96" i="25"/>
  <c r="AF97" i="25" s="1"/>
  <c r="AE96" i="25"/>
  <c r="AE97" i="25" s="1"/>
  <c r="AD96" i="25"/>
  <c r="AD97" i="25" s="1"/>
  <c r="AC96" i="25"/>
  <c r="AC97" i="25" s="1"/>
  <c r="AB96" i="25"/>
  <c r="AB97" i="25" s="1"/>
  <c r="Z94" i="25"/>
  <c r="Y94" i="25"/>
  <c r="X94" i="25"/>
  <c r="W94" i="25"/>
  <c r="V94" i="25"/>
  <c r="U94" i="25"/>
  <c r="T94" i="25"/>
  <c r="S94" i="25"/>
  <c r="R94" i="25"/>
  <c r="Q94" i="25"/>
  <c r="P94" i="25"/>
  <c r="O94" i="25"/>
  <c r="N94" i="25"/>
  <c r="M94" i="25"/>
  <c r="L94" i="25"/>
  <c r="K94" i="25"/>
  <c r="J94" i="25"/>
  <c r="I94" i="25"/>
  <c r="H94" i="25"/>
  <c r="G94" i="25"/>
  <c r="F94" i="25"/>
  <c r="Z91" i="25"/>
  <c r="Y91" i="25"/>
  <c r="X91" i="25"/>
  <c r="W91" i="25"/>
  <c r="V91" i="25"/>
  <c r="U91" i="25"/>
  <c r="T91" i="25"/>
  <c r="S91" i="25"/>
  <c r="R91" i="25"/>
  <c r="Q91" i="25"/>
  <c r="P91" i="25"/>
  <c r="O91" i="25"/>
  <c r="N91" i="25"/>
  <c r="M91" i="25"/>
  <c r="L91" i="25"/>
  <c r="K91" i="25"/>
  <c r="J91" i="25"/>
  <c r="I91" i="25"/>
  <c r="H91" i="25"/>
  <c r="G91" i="25"/>
  <c r="AG86" i="25"/>
  <c r="AF86" i="25"/>
  <c r="AE86" i="25"/>
  <c r="AD86" i="25"/>
  <c r="AC86" i="25"/>
  <c r="AB86" i="25"/>
  <c r="Z86" i="25"/>
  <c r="Y86" i="25"/>
  <c r="X86" i="25"/>
  <c r="W86" i="25"/>
  <c r="V86" i="25"/>
  <c r="U86" i="25"/>
  <c r="T86" i="25"/>
  <c r="S86" i="25"/>
  <c r="R86" i="25"/>
  <c r="Q86" i="25"/>
  <c r="P86" i="25"/>
  <c r="O86" i="25"/>
  <c r="N86" i="25"/>
  <c r="M86" i="25"/>
  <c r="L86" i="25"/>
  <c r="K86" i="25"/>
  <c r="J86" i="25"/>
  <c r="I86" i="25"/>
  <c r="H86" i="25"/>
  <c r="G86" i="25"/>
  <c r="F86" i="25"/>
  <c r="AA86" i="25" s="1"/>
  <c r="AG57" i="25"/>
  <c r="AF57" i="25"/>
  <c r="AE57" i="25"/>
  <c r="AC57" i="25"/>
  <c r="Z57" i="25"/>
  <c r="Y57" i="25"/>
  <c r="X57" i="25"/>
  <c r="W57" i="25"/>
  <c r="V57" i="25"/>
  <c r="U57" i="25"/>
  <c r="T57" i="25"/>
  <c r="S57" i="25"/>
  <c r="R57" i="25"/>
  <c r="Q57" i="25"/>
  <c r="P57" i="25"/>
  <c r="O57" i="25"/>
  <c r="N57" i="25"/>
  <c r="M57" i="25"/>
  <c r="L57" i="25"/>
  <c r="K57" i="25"/>
  <c r="J57" i="25"/>
  <c r="I57" i="25"/>
  <c r="H57" i="25"/>
  <c r="G57" i="25"/>
  <c r="F57" i="25"/>
  <c r="AD52" i="25"/>
  <c r="AD57" i="25" s="1"/>
  <c r="AB52" i="25"/>
  <c r="AB57" i="25" s="1"/>
  <c r="AG49" i="25"/>
  <c r="AF49" i="25"/>
  <c r="AE49" i="25"/>
  <c r="AD49" i="25"/>
  <c r="AC49" i="25"/>
  <c r="AB49" i="25"/>
  <c r="Z49" i="25"/>
  <c r="Y49" i="25"/>
  <c r="X49" i="25"/>
  <c r="W49" i="25"/>
  <c r="V49" i="25"/>
  <c r="U49" i="25"/>
  <c r="T49" i="25"/>
  <c r="S49" i="25"/>
  <c r="R49" i="25"/>
  <c r="Q49" i="25"/>
  <c r="P49" i="25"/>
  <c r="O49" i="25"/>
  <c r="N49" i="25"/>
  <c r="M49" i="25"/>
  <c r="L49" i="25"/>
  <c r="K49" i="25"/>
  <c r="J49" i="25"/>
  <c r="I49" i="25"/>
  <c r="H49" i="25"/>
  <c r="G49" i="25"/>
  <c r="F49" i="25"/>
  <c r="AG33" i="25"/>
  <c r="AF33" i="25"/>
  <c r="AE33" i="25"/>
  <c r="AD33" i="25"/>
  <c r="AC33" i="25"/>
  <c r="AB33" i="25"/>
  <c r="Z33" i="25"/>
  <c r="Y33" i="25"/>
  <c r="X33" i="25"/>
  <c r="W33" i="25"/>
  <c r="V33" i="25"/>
  <c r="U33" i="25"/>
  <c r="T33" i="25"/>
  <c r="S33" i="25"/>
  <c r="R33" i="25"/>
  <c r="Q33" i="25"/>
  <c r="P33" i="25"/>
  <c r="O33" i="25"/>
  <c r="N33" i="25"/>
  <c r="M33" i="25"/>
  <c r="L33" i="25"/>
  <c r="K33" i="25"/>
  <c r="J33" i="25"/>
  <c r="I33" i="25"/>
  <c r="H33" i="25"/>
  <c r="G33" i="25"/>
  <c r="F33" i="25"/>
  <c r="AG18" i="25"/>
  <c r="AF18" i="25"/>
  <c r="AE18" i="25"/>
  <c r="AD18" i="25"/>
  <c r="AC18" i="25"/>
  <c r="AB18" i="25"/>
  <c r="Z18" i="25"/>
  <c r="Y18" i="25"/>
  <c r="X18" i="25"/>
  <c r="W18" i="25"/>
  <c r="V18" i="25"/>
  <c r="U18" i="25"/>
  <c r="T18" i="25"/>
  <c r="S18" i="25"/>
  <c r="R18" i="25"/>
  <c r="Q18" i="25"/>
  <c r="P18" i="25"/>
  <c r="O18" i="25"/>
  <c r="N18" i="25"/>
  <c r="M18" i="25"/>
  <c r="L18" i="25"/>
  <c r="K18" i="25"/>
  <c r="J18" i="25"/>
  <c r="I18" i="25"/>
  <c r="H18" i="25"/>
  <c r="G18" i="25"/>
  <c r="F18" i="25"/>
  <c r="AG12" i="25"/>
  <c r="AF12" i="25"/>
  <c r="AE12" i="25"/>
  <c r="AD12" i="25"/>
  <c r="AC12" i="25"/>
  <c r="AB12" i="25"/>
  <c r="Z12" i="25"/>
  <c r="Y12" i="25"/>
  <c r="X12" i="25"/>
  <c r="W12" i="25"/>
  <c r="V12" i="25"/>
  <c r="U12" i="25"/>
  <c r="T12" i="25"/>
  <c r="S12" i="25"/>
  <c r="R12" i="25"/>
  <c r="Q12" i="25"/>
  <c r="P12" i="25"/>
  <c r="O12" i="25"/>
  <c r="N12" i="25"/>
  <c r="M12" i="25"/>
  <c r="L12" i="25"/>
  <c r="K12" i="25"/>
  <c r="J12" i="25"/>
  <c r="I12" i="25"/>
  <c r="H12" i="25"/>
  <c r="G12" i="25"/>
  <c r="F12" i="25"/>
  <c r="AD52" i="23"/>
  <c r="V88" i="25" l="1"/>
  <c r="AA49" i="25"/>
  <c r="D106" i="28"/>
  <c r="N88" i="25"/>
  <c r="H88" i="25"/>
  <c r="H90" i="25" s="1"/>
  <c r="H92" i="25" s="1"/>
  <c r="X88" i="25"/>
  <c r="X90" i="25" s="1"/>
  <c r="X92" i="25" s="1"/>
  <c r="E111" i="25"/>
  <c r="F111" i="25" s="1"/>
  <c r="J97" i="28"/>
  <c r="P88" i="25"/>
  <c r="P90" i="25" s="1"/>
  <c r="P92" i="25" s="1"/>
  <c r="J88" i="25"/>
  <c r="R88" i="25"/>
  <c r="R90" i="25" s="1"/>
  <c r="R92" i="25" s="1"/>
  <c r="Z88" i="25"/>
  <c r="E113" i="25"/>
  <c r="F113" i="25" s="1"/>
  <c r="E114" i="25"/>
  <c r="F114" i="25" s="1"/>
  <c r="P97" i="28"/>
  <c r="E110" i="25"/>
  <c r="F110" i="25" s="1"/>
  <c r="N102" i="28"/>
  <c r="N103" i="28" s="1"/>
  <c r="N97" i="28"/>
  <c r="E109" i="25"/>
  <c r="W97" i="28"/>
  <c r="L88" i="25"/>
  <c r="L90" i="25" s="1"/>
  <c r="L92" i="25" s="1"/>
  <c r="T88" i="25"/>
  <c r="T90" i="25" s="1"/>
  <c r="T92" i="25" s="1"/>
  <c r="AA33" i="25"/>
  <c r="E112" i="25"/>
  <c r="F112" i="25" s="1"/>
  <c r="AA57" i="25"/>
  <c r="L97" i="28"/>
  <c r="V102" i="28"/>
  <c r="V103" i="28" s="1"/>
  <c r="V97" i="28"/>
  <c r="T97" i="28"/>
  <c r="H97" i="28"/>
  <c r="AA85" i="28" s="1"/>
  <c r="X97" i="28"/>
  <c r="AA11" i="28" s="1"/>
  <c r="G88" i="25"/>
  <c r="I88" i="25"/>
  <c r="I90" i="25" s="1"/>
  <c r="I92" i="25" s="1"/>
  <c r="K88" i="25"/>
  <c r="M88" i="25"/>
  <c r="O88" i="25"/>
  <c r="Q88" i="25"/>
  <c r="Q90" i="25" s="1"/>
  <c r="Q92" i="25" s="1"/>
  <c r="S88" i="25"/>
  <c r="U88" i="25"/>
  <c r="W88" i="25"/>
  <c r="Y88" i="25"/>
  <c r="Y90" i="25" s="1"/>
  <c r="Y92" i="25" s="1"/>
  <c r="AA18" i="25"/>
  <c r="F88" i="25"/>
  <c r="AA12" i="25"/>
  <c r="G90" i="25"/>
  <c r="J90" i="25"/>
  <c r="K90" i="25"/>
  <c r="M90" i="25"/>
  <c r="N90" i="25"/>
  <c r="O90" i="25"/>
  <c r="S90" i="25"/>
  <c r="U90" i="25"/>
  <c r="V90" i="25"/>
  <c r="W90" i="25"/>
  <c r="Z90" i="25"/>
  <c r="AB102" i="25"/>
  <c r="AB88" i="25"/>
  <c r="AB101" i="25" s="1"/>
  <c r="AC102" i="25"/>
  <c r="AC88" i="25"/>
  <c r="AC101" i="25" s="1"/>
  <c r="AD102" i="25"/>
  <c r="AD88" i="25"/>
  <c r="AD101" i="25" s="1"/>
  <c r="AE102" i="25"/>
  <c r="AE88" i="25"/>
  <c r="AE101" i="25" s="1"/>
  <c r="AF102" i="25"/>
  <c r="AF88" i="25"/>
  <c r="AF101" i="25" s="1"/>
  <c r="AG102" i="25"/>
  <c r="AG88" i="25"/>
  <c r="AG101" i="25" s="1"/>
  <c r="G92" i="25"/>
  <c r="J92" i="25"/>
  <c r="K92" i="25"/>
  <c r="M92" i="25"/>
  <c r="N92" i="25"/>
  <c r="O92" i="25"/>
  <c r="S92" i="25"/>
  <c r="U92" i="25"/>
  <c r="V92" i="25"/>
  <c r="W92" i="25"/>
  <c r="Z92" i="25"/>
  <c r="F95" i="25"/>
  <c r="G95" i="25"/>
  <c r="H95" i="25"/>
  <c r="I95" i="25"/>
  <c r="J95" i="25"/>
  <c r="K95" i="25"/>
  <c r="L95" i="25"/>
  <c r="M95" i="25"/>
  <c r="N95" i="25"/>
  <c r="O95" i="25"/>
  <c r="P95" i="25"/>
  <c r="Q95" i="25"/>
  <c r="R95" i="25"/>
  <c r="S95" i="25"/>
  <c r="T95" i="25"/>
  <c r="U95" i="25"/>
  <c r="V95" i="25"/>
  <c r="W95" i="25"/>
  <c r="X95" i="25"/>
  <c r="Y95" i="25"/>
  <c r="Z95" i="25"/>
  <c r="AB96" i="23"/>
  <c r="AB97" i="23" s="1"/>
  <c r="Y127" i="23"/>
  <c r="Y120" i="23"/>
  <c r="Y119" i="23"/>
  <c r="H108" i="23"/>
  <c r="AG96" i="23"/>
  <c r="AG97" i="23" s="1"/>
  <c r="AF96" i="23"/>
  <c r="AF97" i="23" s="1"/>
  <c r="AE96" i="23"/>
  <c r="AE97" i="23" s="1"/>
  <c r="AD96" i="23"/>
  <c r="AD97" i="23" s="1"/>
  <c r="AC96" i="23"/>
  <c r="AC97" i="23" s="1"/>
  <c r="Z94" i="23"/>
  <c r="Y94" i="23"/>
  <c r="X94" i="23"/>
  <c r="W94" i="23"/>
  <c r="V94" i="23"/>
  <c r="U94" i="23"/>
  <c r="T94" i="23"/>
  <c r="S94" i="23"/>
  <c r="R94" i="23"/>
  <c r="Q94" i="23"/>
  <c r="P94" i="23"/>
  <c r="O94" i="23"/>
  <c r="N94" i="23"/>
  <c r="N95" i="23" s="1"/>
  <c r="M94" i="23"/>
  <c r="L94" i="23"/>
  <c r="L95" i="23" s="1"/>
  <c r="L96" i="23" s="1"/>
  <c r="K94" i="23"/>
  <c r="J94" i="23"/>
  <c r="J95" i="23" s="1"/>
  <c r="I94" i="23"/>
  <c r="H94" i="23"/>
  <c r="H95" i="23" s="1"/>
  <c r="H96" i="23" s="1"/>
  <c r="G94" i="23"/>
  <c r="F94" i="23"/>
  <c r="F95" i="23" s="1"/>
  <c r="Z91" i="23"/>
  <c r="Y91" i="23"/>
  <c r="X91" i="23"/>
  <c r="W91" i="23"/>
  <c r="V91" i="23"/>
  <c r="U91" i="23"/>
  <c r="T91" i="23"/>
  <c r="S91" i="23"/>
  <c r="R91" i="23"/>
  <c r="Q91" i="23"/>
  <c r="P91" i="23"/>
  <c r="O91" i="23"/>
  <c r="N91" i="23"/>
  <c r="M91" i="23"/>
  <c r="L91" i="23"/>
  <c r="K91" i="23"/>
  <c r="J91" i="23"/>
  <c r="I91" i="23"/>
  <c r="H91" i="23"/>
  <c r="G91" i="23"/>
  <c r="AG86" i="23"/>
  <c r="AF86" i="23"/>
  <c r="AE86" i="23"/>
  <c r="AD86" i="23"/>
  <c r="AC86" i="23"/>
  <c r="AB86" i="23"/>
  <c r="Z86" i="23"/>
  <c r="Y86" i="23"/>
  <c r="X86" i="23"/>
  <c r="W86" i="23"/>
  <c r="V86" i="23"/>
  <c r="U86" i="23"/>
  <c r="T86" i="23"/>
  <c r="S86" i="23"/>
  <c r="R86" i="23"/>
  <c r="Q86" i="23"/>
  <c r="P86" i="23"/>
  <c r="O86" i="23"/>
  <c r="N86" i="23"/>
  <c r="M86" i="23"/>
  <c r="L86" i="23"/>
  <c r="K86" i="23"/>
  <c r="J86" i="23"/>
  <c r="I86" i="23"/>
  <c r="H86" i="23"/>
  <c r="G86" i="23"/>
  <c r="F86" i="23"/>
  <c r="AG57" i="23"/>
  <c r="AF57" i="23"/>
  <c r="AE57" i="23"/>
  <c r="AC57" i="23"/>
  <c r="Z57" i="23"/>
  <c r="Y57" i="23"/>
  <c r="X57" i="23"/>
  <c r="W57" i="23"/>
  <c r="V57" i="23"/>
  <c r="U57" i="23"/>
  <c r="T57" i="23"/>
  <c r="S57" i="23"/>
  <c r="R57" i="23"/>
  <c r="Q57" i="23"/>
  <c r="P57" i="23"/>
  <c r="O57" i="23"/>
  <c r="N57" i="23"/>
  <c r="M57" i="23"/>
  <c r="L57" i="23"/>
  <c r="K57" i="23"/>
  <c r="J57" i="23"/>
  <c r="I57" i="23"/>
  <c r="H57" i="23"/>
  <c r="G57" i="23"/>
  <c r="F57" i="23"/>
  <c r="AD57" i="23"/>
  <c r="AB52" i="23"/>
  <c r="AB57" i="23" s="1"/>
  <c r="AG49" i="23"/>
  <c r="AF49" i="23"/>
  <c r="AE49" i="23"/>
  <c r="AD49" i="23"/>
  <c r="AC49" i="23"/>
  <c r="AB49" i="23"/>
  <c r="Z49" i="23"/>
  <c r="Y49" i="23"/>
  <c r="X49" i="23"/>
  <c r="W49" i="23"/>
  <c r="V49" i="23"/>
  <c r="U49" i="23"/>
  <c r="T49" i="23"/>
  <c r="S49" i="23"/>
  <c r="R49" i="23"/>
  <c r="Q49" i="23"/>
  <c r="P49" i="23"/>
  <c r="O49" i="23"/>
  <c r="N49" i="23"/>
  <c r="M49" i="23"/>
  <c r="L49" i="23"/>
  <c r="K49" i="23"/>
  <c r="J49" i="23"/>
  <c r="I49" i="23"/>
  <c r="H49" i="23"/>
  <c r="G49" i="23"/>
  <c r="F49" i="23"/>
  <c r="AG33" i="23"/>
  <c r="AF33" i="23"/>
  <c r="AE33" i="23"/>
  <c r="AD33" i="23"/>
  <c r="AC33" i="23"/>
  <c r="AB33" i="23"/>
  <c r="Z33" i="23"/>
  <c r="Y33" i="23"/>
  <c r="X33" i="23"/>
  <c r="W33" i="23"/>
  <c r="V33" i="23"/>
  <c r="U33" i="23"/>
  <c r="T33" i="23"/>
  <c r="S33" i="23"/>
  <c r="R33" i="23"/>
  <c r="Q33" i="23"/>
  <c r="P33" i="23"/>
  <c r="O33" i="23"/>
  <c r="N33" i="23"/>
  <c r="M33" i="23"/>
  <c r="L33" i="23"/>
  <c r="K33" i="23"/>
  <c r="J33" i="23"/>
  <c r="I33" i="23"/>
  <c r="H33" i="23"/>
  <c r="G33" i="23"/>
  <c r="F33" i="23"/>
  <c r="AG18" i="23"/>
  <c r="AF18" i="23"/>
  <c r="AE18" i="23"/>
  <c r="AD18" i="23"/>
  <c r="AC18" i="23"/>
  <c r="AB18" i="23"/>
  <c r="Z18" i="23"/>
  <c r="Y18" i="23"/>
  <c r="X18" i="23"/>
  <c r="W18" i="23"/>
  <c r="V18" i="23"/>
  <c r="U18" i="23"/>
  <c r="T18" i="23"/>
  <c r="S18" i="23"/>
  <c r="R18" i="23"/>
  <c r="Q18" i="23"/>
  <c r="P18" i="23"/>
  <c r="O18" i="23"/>
  <c r="N18" i="23"/>
  <c r="M18" i="23"/>
  <c r="L18" i="23"/>
  <c r="K18" i="23"/>
  <c r="J18" i="23"/>
  <c r="I18" i="23"/>
  <c r="H18" i="23"/>
  <c r="G18" i="23"/>
  <c r="F18" i="23"/>
  <c r="AG12" i="23"/>
  <c r="AF12" i="23"/>
  <c r="AE12" i="23"/>
  <c r="AD12" i="23"/>
  <c r="AC12" i="23"/>
  <c r="AB12" i="23"/>
  <c r="E109" i="23" s="1"/>
  <c r="Z12" i="23"/>
  <c r="Y12" i="23"/>
  <c r="X12" i="23"/>
  <c r="W12" i="23"/>
  <c r="V12" i="23"/>
  <c r="U12" i="23"/>
  <c r="T12" i="23"/>
  <c r="S12" i="23"/>
  <c r="R12" i="23"/>
  <c r="Q12" i="23"/>
  <c r="P12" i="23"/>
  <c r="O12" i="23"/>
  <c r="N12" i="23"/>
  <c r="M12" i="23"/>
  <c r="L12" i="23"/>
  <c r="K12" i="23"/>
  <c r="J12" i="23"/>
  <c r="I12" i="23"/>
  <c r="H12" i="23"/>
  <c r="G12" i="23"/>
  <c r="F12" i="23"/>
  <c r="Z94" i="19"/>
  <c r="Y94" i="19"/>
  <c r="X94" i="19"/>
  <c r="W94" i="19"/>
  <c r="V94" i="19"/>
  <c r="U94" i="19"/>
  <c r="Q94" i="19"/>
  <c r="P94" i="19"/>
  <c r="O94" i="19"/>
  <c r="M94" i="19"/>
  <c r="L94" i="19"/>
  <c r="D114" i="28" l="1"/>
  <c r="G114" i="28" s="1"/>
  <c r="AA84" i="28"/>
  <c r="F101" i="25"/>
  <c r="F109" i="25"/>
  <c r="F115" i="25" s="1"/>
  <c r="E115" i="25"/>
  <c r="AA9" i="28"/>
  <c r="D109" i="28"/>
  <c r="F88" i="23"/>
  <c r="F90" i="23" s="1"/>
  <c r="F92" i="23" s="1"/>
  <c r="H88" i="23"/>
  <c r="H101" i="23" s="1"/>
  <c r="J88" i="23"/>
  <c r="L88" i="23"/>
  <c r="L101" i="23" s="1"/>
  <c r="N88" i="23"/>
  <c r="P88" i="23"/>
  <c r="P90" i="23" s="1"/>
  <c r="P92" i="23" s="1"/>
  <c r="R88" i="23"/>
  <c r="R90" i="23" s="1"/>
  <c r="R92" i="23" s="1"/>
  <c r="T88" i="23"/>
  <c r="T90" i="23" s="1"/>
  <c r="T92" i="23" s="1"/>
  <c r="V88" i="23"/>
  <c r="X88" i="23"/>
  <c r="X90" i="23" s="1"/>
  <c r="X92" i="23" s="1"/>
  <c r="Z88" i="23"/>
  <c r="AA17" i="28"/>
  <c r="AA48" i="28"/>
  <c r="AA56" i="28"/>
  <c r="AA32" i="28"/>
  <c r="G88" i="23"/>
  <c r="G90" i="23" s="1"/>
  <c r="G92" i="23" s="1"/>
  <c r="K88" i="23"/>
  <c r="O88" i="23"/>
  <c r="O90" i="23" s="1"/>
  <c r="O92" i="23" s="1"/>
  <c r="S88" i="23"/>
  <c r="W88" i="23"/>
  <c r="W90" i="23" s="1"/>
  <c r="W92" i="23" s="1"/>
  <c r="AD88" i="23"/>
  <c r="AD101" i="23" s="1"/>
  <c r="AF102" i="23"/>
  <c r="AG103" i="25"/>
  <c r="AF103" i="25"/>
  <c r="AE103" i="25"/>
  <c r="AD103" i="25"/>
  <c r="AC103" i="25"/>
  <c r="AB103" i="25"/>
  <c r="AA88" i="25"/>
  <c r="Z101" i="25"/>
  <c r="Z96" i="25"/>
  <c r="Y101" i="25"/>
  <c r="Y96" i="25"/>
  <c r="X101" i="25"/>
  <c r="X96" i="25"/>
  <c r="W101" i="25"/>
  <c r="W96" i="25"/>
  <c r="V101" i="25"/>
  <c r="V96" i="25"/>
  <c r="U101" i="25"/>
  <c r="U96" i="25"/>
  <c r="T101" i="25"/>
  <c r="T96" i="25"/>
  <c r="S101" i="25"/>
  <c r="S96" i="25"/>
  <c r="R101" i="25"/>
  <c r="R96" i="25"/>
  <c r="Q101" i="25"/>
  <c r="Q96" i="25"/>
  <c r="P101" i="25"/>
  <c r="P96" i="25"/>
  <c r="O101" i="25"/>
  <c r="O96" i="25"/>
  <c r="N101" i="25"/>
  <c r="N96" i="25"/>
  <c r="M101" i="25"/>
  <c r="M96" i="25"/>
  <c r="L101" i="25"/>
  <c r="L96" i="25"/>
  <c r="K101" i="25"/>
  <c r="K96" i="25"/>
  <c r="J101" i="25"/>
  <c r="J96" i="25"/>
  <c r="I101" i="25"/>
  <c r="I96" i="25"/>
  <c r="H101" i="25"/>
  <c r="H96" i="25"/>
  <c r="G101" i="25"/>
  <c r="G96" i="25"/>
  <c r="F96" i="25"/>
  <c r="F102" i="25" s="1"/>
  <c r="F90" i="25"/>
  <c r="F92" i="25" s="1"/>
  <c r="AA18" i="23"/>
  <c r="I88" i="23"/>
  <c r="Q88" i="23"/>
  <c r="U88" i="23"/>
  <c r="Y88" i="23"/>
  <c r="Y90" i="23" s="1"/>
  <c r="Y92" i="23" s="1"/>
  <c r="AC88" i="23"/>
  <c r="AC101" i="23" s="1"/>
  <c r="AG88" i="23"/>
  <c r="AG101" i="23" s="1"/>
  <c r="AA33" i="23"/>
  <c r="AA49" i="23"/>
  <c r="AD102" i="23"/>
  <c r="AA86" i="23"/>
  <c r="M88" i="23"/>
  <c r="M90" i="23" s="1"/>
  <c r="M92" i="23" s="1"/>
  <c r="AA57" i="23"/>
  <c r="I90" i="23"/>
  <c r="Q90" i="23"/>
  <c r="Q92" i="23" s="1"/>
  <c r="U90" i="23"/>
  <c r="U92" i="23" s="1"/>
  <c r="K90" i="23"/>
  <c r="K92" i="23" s="1"/>
  <c r="S90" i="23"/>
  <c r="S92" i="23" s="1"/>
  <c r="F101" i="23"/>
  <c r="J101" i="23"/>
  <c r="J90" i="23"/>
  <c r="J92" i="23" s="1"/>
  <c r="L90" i="23"/>
  <c r="L92" i="23" s="1"/>
  <c r="N101" i="23"/>
  <c r="N90" i="23"/>
  <c r="N92" i="23" s="1"/>
  <c r="V90" i="23"/>
  <c r="V92" i="23" s="1"/>
  <c r="Z90" i="23"/>
  <c r="Z92" i="23" s="1"/>
  <c r="I92" i="23"/>
  <c r="AA12" i="23"/>
  <c r="AC102" i="23"/>
  <c r="AC103" i="23" s="1"/>
  <c r="AE102" i="23"/>
  <c r="AG102" i="23"/>
  <c r="E112" i="23"/>
  <c r="F112" i="23" s="1"/>
  <c r="E113" i="23"/>
  <c r="F113" i="23" s="1"/>
  <c r="E114" i="23"/>
  <c r="F114" i="23" s="1"/>
  <c r="AE88" i="23"/>
  <c r="AE101" i="23" s="1"/>
  <c r="Q95" i="23"/>
  <c r="U95" i="23"/>
  <c r="U101" i="23" s="1"/>
  <c r="Y95" i="23"/>
  <c r="E110" i="23"/>
  <c r="F110" i="23" s="1"/>
  <c r="E111" i="23"/>
  <c r="F111" i="23" s="1"/>
  <c r="AB88" i="23"/>
  <c r="AB101" i="23" s="1"/>
  <c r="AF88" i="23"/>
  <c r="AF101" i="23" s="1"/>
  <c r="H97" i="23"/>
  <c r="L97" i="23"/>
  <c r="P95" i="23"/>
  <c r="P96" i="23" s="1"/>
  <c r="R95" i="23"/>
  <c r="T95" i="23"/>
  <c r="T96" i="23" s="1"/>
  <c r="V95" i="23"/>
  <c r="V101" i="23" s="1"/>
  <c r="X95" i="23"/>
  <c r="X96" i="23" s="1"/>
  <c r="Z95" i="23"/>
  <c r="Z101" i="23" s="1"/>
  <c r="G95" i="23"/>
  <c r="I95" i="23"/>
  <c r="I101" i="23" s="1"/>
  <c r="K95" i="23"/>
  <c r="K101" i="23" s="1"/>
  <c r="M95" i="23"/>
  <c r="O95" i="23"/>
  <c r="S95" i="23"/>
  <c r="W95" i="23"/>
  <c r="F96" i="23"/>
  <c r="F102" i="23" s="1"/>
  <c r="J96" i="23"/>
  <c r="N96" i="23"/>
  <c r="N102" i="23" s="1"/>
  <c r="V96" i="23"/>
  <c r="V102" i="23" s="1"/>
  <c r="AB102" i="23"/>
  <c r="R101" i="23" l="1"/>
  <c r="G109" i="28"/>
  <c r="AA46" i="28"/>
  <c r="D112" i="28"/>
  <c r="G112" i="28" s="1"/>
  <c r="AA54" i="28"/>
  <c r="D113" i="28"/>
  <c r="G113" i="28" s="1"/>
  <c r="D106" i="25"/>
  <c r="AA16" i="28"/>
  <c r="AA90" i="28" s="1"/>
  <c r="C106" i="28" s="1"/>
  <c r="D110" i="28"/>
  <c r="G110" i="28" s="1"/>
  <c r="F103" i="25"/>
  <c r="AA30" i="28"/>
  <c r="D111" i="28"/>
  <c r="G111" i="28" s="1"/>
  <c r="AF103" i="23"/>
  <c r="D106" i="23" s="1"/>
  <c r="F97" i="25"/>
  <c r="AE103" i="23"/>
  <c r="AG103" i="23"/>
  <c r="H102" i="23"/>
  <c r="H90" i="23"/>
  <c r="H92" i="23" s="1"/>
  <c r="AD103" i="23"/>
  <c r="W101" i="23"/>
  <c r="O101" i="23"/>
  <c r="G101" i="23"/>
  <c r="X102" i="23"/>
  <c r="T102" i="23"/>
  <c r="P102" i="23"/>
  <c r="L102" i="23"/>
  <c r="S101" i="23"/>
  <c r="M101" i="23"/>
  <c r="G102" i="25"/>
  <c r="G103" i="25" s="1"/>
  <c r="G97" i="25"/>
  <c r="AA11" i="25" s="1"/>
  <c r="H102" i="25"/>
  <c r="H97" i="25"/>
  <c r="H103" i="25"/>
  <c r="I102" i="25"/>
  <c r="I97" i="25"/>
  <c r="I103" i="25"/>
  <c r="J102" i="25"/>
  <c r="J103" i="25" s="1"/>
  <c r="J97" i="25"/>
  <c r="K102" i="25"/>
  <c r="K97" i="25"/>
  <c r="K103" i="25"/>
  <c r="L102" i="25"/>
  <c r="L97" i="25"/>
  <c r="L103" i="25"/>
  <c r="M102" i="25"/>
  <c r="M97" i="25"/>
  <c r="M103" i="25"/>
  <c r="N102" i="25"/>
  <c r="N103" i="25" s="1"/>
  <c r="N97" i="25"/>
  <c r="O102" i="25"/>
  <c r="O103" i="25" s="1"/>
  <c r="O97" i="25"/>
  <c r="P102" i="25"/>
  <c r="P97" i="25"/>
  <c r="P103" i="25"/>
  <c r="Q102" i="25"/>
  <c r="Q97" i="25"/>
  <c r="Q103" i="25"/>
  <c r="R102" i="25"/>
  <c r="R103" i="25" s="1"/>
  <c r="R97" i="25"/>
  <c r="S102" i="25"/>
  <c r="S97" i="25"/>
  <c r="S103" i="25"/>
  <c r="T102" i="25"/>
  <c r="T97" i="25"/>
  <c r="T103" i="25"/>
  <c r="U102" i="25"/>
  <c r="U97" i="25"/>
  <c r="U103" i="25"/>
  <c r="V102" i="25"/>
  <c r="V97" i="25"/>
  <c r="V103" i="25"/>
  <c r="W102" i="25"/>
  <c r="W103" i="25" s="1"/>
  <c r="W97" i="25"/>
  <c r="X102" i="25"/>
  <c r="X97" i="25"/>
  <c r="X103" i="25"/>
  <c r="Y102" i="25"/>
  <c r="Y97" i="25"/>
  <c r="Y103" i="25"/>
  <c r="Z102" i="25"/>
  <c r="Z103" i="25" s="1"/>
  <c r="Z97" i="25"/>
  <c r="J102" i="23"/>
  <c r="J97" i="23"/>
  <c r="V103" i="23"/>
  <c r="AB103" i="23"/>
  <c r="Y101" i="23"/>
  <c r="Y96" i="23"/>
  <c r="Q101" i="23"/>
  <c r="Q96" i="23"/>
  <c r="H103" i="23"/>
  <c r="AA88" i="23"/>
  <c r="N97" i="23"/>
  <c r="F97" i="23"/>
  <c r="U96" i="23"/>
  <c r="U102" i="23" s="1"/>
  <c r="U103" i="23" s="1"/>
  <c r="M96" i="23"/>
  <c r="M102" i="23" s="1"/>
  <c r="I96" i="23"/>
  <c r="X101" i="23"/>
  <c r="X103" i="23" s="1"/>
  <c r="T101" i="23"/>
  <c r="T103" i="23" s="1"/>
  <c r="P101" i="23"/>
  <c r="P103" i="23" s="1"/>
  <c r="L103" i="23"/>
  <c r="M97" i="23"/>
  <c r="Z96" i="23"/>
  <c r="Z102" i="23" s="1"/>
  <c r="Z103" i="23" s="1"/>
  <c r="R96" i="23"/>
  <c r="R102" i="23" s="1"/>
  <c r="R103" i="23" s="1"/>
  <c r="X97" i="23"/>
  <c r="V97" i="23"/>
  <c r="T97" i="23"/>
  <c r="P97" i="23"/>
  <c r="E115" i="23"/>
  <c r="F109" i="23"/>
  <c r="F115" i="23" s="1"/>
  <c r="W96" i="23"/>
  <c r="S96" i="23"/>
  <c r="S102" i="23" s="1"/>
  <c r="O96" i="23"/>
  <c r="K96" i="23"/>
  <c r="K102" i="23" s="1"/>
  <c r="K103" i="23" s="1"/>
  <c r="G96" i="23"/>
  <c r="N103" i="23"/>
  <c r="J103" i="23"/>
  <c r="F103" i="23"/>
  <c r="H108" i="19"/>
  <c r="D115" i="28" l="1"/>
  <c r="G115" i="28"/>
  <c r="D109" i="25"/>
  <c r="AA9" i="25"/>
  <c r="Z97" i="23"/>
  <c r="S103" i="23"/>
  <c r="M103" i="23"/>
  <c r="AA56" i="25"/>
  <c r="AA48" i="25"/>
  <c r="AA32" i="25"/>
  <c r="AA85" i="25"/>
  <c r="AA17" i="25"/>
  <c r="C106" i="25" s="1"/>
  <c r="Q102" i="23"/>
  <c r="Q103" i="23" s="1"/>
  <c r="Q97" i="23"/>
  <c r="Y102" i="23"/>
  <c r="Y97" i="23"/>
  <c r="Y103" i="23"/>
  <c r="K97" i="23"/>
  <c r="I102" i="23"/>
  <c r="I103" i="23" s="1"/>
  <c r="I97" i="23"/>
  <c r="G102" i="23"/>
  <c r="G103" i="23" s="1"/>
  <c r="G97" i="23"/>
  <c r="O102" i="23"/>
  <c r="O103" i="23" s="1"/>
  <c r="O97" i="23"/>
  <c r="W102" i="23"/>
  <c r="W103" i="23" s="1"/>
  <c r="W97" i="23"/>
  <c r="S97" i="23"/>
  <c r="R97" i="23"/>
  <c r="U97" i="23"/>
  <c r="AA85" i="23" s="1"/>
  <c r="D114" i="25" l="1"/>
  <c r="G114" i="25" s="1"/>
  <c r="AA84" i="25"/>
  <c r="D111" i="25"/>
  <c r="G111" i="25" s="1"/>
  <c r="AA30" i="25"/>
  <c r="AA46" i="25"/>
  <c r="D112" i="25"/>
  <c r="G112" i="25" s="1"/>
  <c r="AA16" i="25"/>
  <c r="AI16" i="23" s="1"/>
  <c r="D110" i="25"/>
  <c r="G110" i="25" s="1"/>
  <c r="G109" i="25"/>
  <c r="AA54" i="25"/>
  <c r="D113" i="25"/>
  <c r="G113" i="25" s="1"/>
  <c r="D114" i="23"/>
  <c r="G114" i="23" s="1"/>
  <c r="AA84" i="23"/>
  <c r="AA56" i="23"/>
  <c r="AA32" i="23"/>
  <c r="AA11" i="23"/>
  <c r="AA48" i="23"/>
  <c r="AA17" i="23"/>
  <c r="AA16" i="23" s="1"/>
  <c r="AA90" i="25" l="1"/>
  <c r="AJ16" i="23"/>
  <c r="D115" i="25"/>
  <c r="G115" i="25"/>
  <c r="D112" i="23"/>
  <c r="G112" i="23" s="1"/>
  <c r="AA46" i="23"/>
  <c r="AA30" i="23"/>
  <c r="D111" i="23"/>
  <c r="G111" i="23" s="1"/>
  <c r="D110" i="23"/>
  <c r="C106" i="23"/>
  <c r="AA9" i="23"/>
  <c r="D109" i="23"/>
  <c r="D113" i="23"/>
  <c r="G113" i="23" s="1"/>
  <c r="AA54" i="23"/>
  <c r="H94" i="19"/>
  <c r="G94" i="19"/>
  <c r="F94" i="19"/>
  <c r="G110" i="23" l="1"/>
  <c r="D115" i="23"/>
  <c r="G109" i="23"/>
  <c r="G115" i="23" s="1"/>
  <c r="L105" i="5"/>
  <c r="F95" i="19" l="1"/>
  <c r="F96" i="19" s="1"/>
  <c r="G57" i="19"/>
  <c r="Y127" i="19"/>
  <c r="Y120" i="19"/>
  <c r="Y119" i="19"/>
  <c r="AG96" i="19"/>
  <c r="AG97" i="19" s="1"/>
  <c r="AF96" i="19"/>
  <c r="AF97" i="19" s="1"/>
  <c r="AE96" i="19"/>
  <c r="AE97" i="19" s="1"/>
  <c r="AD96" i="19"/>
  <c r="AD97" i="19" s="1"/>
  <c r="AC96" i="19"/>
  <c r="AC97" i="19" s="1"/>
  <c r="AB96" i="19"/>
  <c r="AB97" i="19" s="1"/>
  <c r="L95" i="19"/>
  <c r="L96" i="19" s="1"/>
  <c r="H95" i="19"/>
  <c r="H96" i="19" s="1"/>
  <c r="T94" i="19"/>
  <c r="S94" i="19"/>
  <c r="R94" i="19"/>
  <c r="N94" i="19"/>
  <c r="N95" i="19" s="1"/>
  <c r="K94" i="19"/>
  <c r="J94" i="19"/>
  <c r="J95" i="19" s="1"/>
  <c r="I94" i="19"/>
  <c r="Z91" i="19"/>
  <c r="Y91" i="19"/>
  <c r="X91" i="19"/>
  <c r="W91" i="19"/>
  <c r="V91" i="19"/>
  <c r="U91" i="19"/>
  <c r="T91" i="19"/>
  <c r="S91" i="19"/>
  <c r="R91" i="19"/>
  <c r="Q91" i="19"/>
  <c r="P91" i="19"/>
  <c r="O91" i="19"/>
  <c r="N91" i="19"/>
  <c r="M91" i="19"/>
  <c r="L91" i="19"/>
  <c r="K91" i="19"/>
  <c r="J91" i="19"/>
  <c r="I91" i="19"/>
  <c r="H91" i="19"/>
  <c r="G91" i="19"/>
  <c r="AG86" i="19"/>
  <c r="AF86" i="19"/>
  <c r="AE86" i="19"/>
  <c r="AD86" i="19"/>
  <c r="AC86" i="19"/>
  <c r="AB86" i="19"/>
  <c r="Z86" i="19"/>
  <c r="Y86" i="19"/>
  <c r="X86" i="19"/>
  <c r="W86" i="19"/>
  <c r="V86" i="19"/>
  <c r="U86" i="19"/>
  <c r="T86" i="19"/>
  <c r="S86" i="19"/>
  <c r="R86" i="19"/>
  <c r="Q86" i="19"/>
  <c r="P86" i="19"/>
  <c r="O86" i="19"/>
  <c r="N86" i="19"/>
  <c r="M86" i="19"/>
  <c r="L86" i="19"/>
  <c r="K86" i="19"/>
  <c r="J86" i="19"/>
  <c r="I86" i="19"/>
  <c r="H86" i="19"/>
  <c r="G86" i="19"/>
  <c r="F86" i="19"/>
  <c r="AG57" i="19"/>
  <c r="AF57" i="19"/>
  <c r="AE57" i="19"/>
  <c r="AC57" i="19"/>
  <c r="Z57" i="19"/>
  <c r="Y57" i="19"/>
  <c r="X57" i="19"/>
  <c r="W57" i="19"/>
  <c r="V57" i="19"/>
  <c r="U57" i="19"/>
  <c r="T57" i="19"/>
  <c r="S57" i="19"/>
  <c r="R57" i="19"/>
  <c r="Q57" i="19"/>
  <c r="P57" i="19"/>
  <c r="O57" i="19"/>
  <c r="N57" i="19"/>
  <c r="M57" i="19"/>
  <c r="L57" i="19"/>
  <c r="K57" i="19"/>
  <c r="J57" i="19"/>
  <c r="I57" i="19"/>
  <c r="H57" i="19"/>
  <c r="F57" i="19"/>
  <c r="AD52" i="19"/>
  <c r="AD57" i="19" s="1"/>
  <c r="AB52" i="19"/>
  <c r="AB57" i="19" s="1"/>
  <c r="AG49" i="19"/>
  <c r="AF49" i="19"/>
  <c r="AE49" i="19"/>
  <c r="AD49" i="19"/>
  <c r="AC49" i="19"/>
  <c r="AB49" i="19"/>
  <c r="Z49" i="19"/>
  <c r="Y49" i="19"/>
  <c r="X49" i="19"/>
  <c r="W49" i="19"/>
  <c r="V49" i="19"/>
  <c r="U49" i="19"/>
  <c r="T49" i="19"/>
  <c r="S49" i="19"/>
  <c r="R49" i="19"/>
  <c r="Q49" i="19"/>
  <c r="P49" i="19"/>
  <c r="O49" i="19"/>
  <c r="N49" i="19"/>
  <c r="M49" i="19"/>
  <c r="L49" i="19"/>
  <c r="K49" i="19"/>
  <c r="J49" i="19"/>
  <c r="I49" i="19"/>
  <c r="H49" i="19"/>
  <c r="G49" i="19"/>
  <c r="F49" i="19"/>
  <c r="AG33" i="19"/>
  <c r="AF33" i="19"/>
  <c r="AE33" i="19"/>
  <c r="AD33" i="19"/>
  <c r="AC33" i="19"/>
  <c r="AB33" i="19"/>
  <c r="Z33" i="19"/>
  <c r="Y33" i="19"/>
  <c r="X33" i="19"/>
  <c r="W33" i="19"/>
  <c r="V33" i="19"/>
  <c r="U33" i="19"/>
  <c r="T33" i="19"/>
  <c r="S33" i="19"/>
  <c r="R33" i="19"/>
  <c r="Q33" i="19"/>
  <c r="P33" i="19"/>
  <c r="O33" i="19"/>
  <c r="N33" i="19"/>
  <c r="M33" i="19"/>
  <c r="L33" i="19"/>
  <c r="K33" i="19"/>
  <c r="J33" i="19"/>
  <c r="I33" i="19"/>
  <c r="H33" i="19"/>
  <c r="G33" i="19"/>
  <c r="F33" i="19"/>
  <c r="AG18" i="19"/>
  <c r="AF18" i="19"/>
  <c r="AE18" i="19"/>
  <c r="AD18" i="19"/>
  <c r="AC18" i="19"/>
  <c r="AB18" i="19"/>
  <c r="Z18" i="19"/>
  <c r="Y18" i="19"/>
  <c r="X18" i="19"/>
  <c r="W18" i="19"/>
  <c r="V18" i="19"/>
  <c r="U18" i="19"/>
  <c r="T18" i="19"/>
  <c r="S18" i="19"/>
  <c r="R18" i="19"/>
  <c r="Q18" i="19"/>
  <c r="P18" i="19"/>
  <c r="O18" i="19"/>
  <c r="N18" i="19"/>
  <c r="M18" i="19"/>
  <c r="L18" i="19"/>
  <c r="K18" i="19"/>
  <c r="J18" i="19"/>
  <c r="I18" i="19"/>
  <c r="H18" i="19"/>
  <c r="G18" i="19"/>
  <c r="F18" i="19"/>
  <c r="AG12" i="19"/>
  <c r="AF12" i="19"/>
  <c r="AE12" i="19"/>
  <c r="AD12" i="19"/>
  <c r="AC12" i="19"/>
  <c r="AB12" i="19"/>
  <c r="Z12" i="19"/>
  <c r="Y12" i="19"/>
  <c r="X12" i="19"/>
  <c r="W12" i="19"/>
  <c r="V12" i="19"/>
  <c r="U12" i="19"/>
  <c r="T12" i="19"/>
  <c r="S12" i="19"/>
  <c r="R12" i="19"/>
  <c r="Q12" i="19"/>
  <c r="P12" i="19"/>
  <c r="O12" i="19"/>
  <c r="N12" i="19"/>
  <c r="M12" i="19"/>
  <c r="L12" i="19"/>
  <c r="K12" i="19"/>
  <c r="J12" i="19"/>
  <c r="I12" i="19"/>
  <c r="H12" i="19"/>
  <c r="G12" i="19"/>
  <c r="F12" i="19"/>
  <c r="E109" i="19" l="1"/>
  <c r="F109" i="19" s="1"/>
  <c r="AA57" i="19"/>
  <c r="F88" i="19"/>
  <c r="F101" i="19" s="1"/>
  <c r="J88" i="19"/>
  <c r="J90" i="19" s="1"/>
  <c r="J92" i="19" s="1"/>
  <c r="N88" i="19"/>
  <c r="N101" i="19" s="1"/>
  <c r="R88" i="19"/>
  <c r="R90" i="19" s="1"/>
  <c r="R92" i="19" s="1"/>
  <c r="V88" i="19"/>
  <c r="V90" i="19" s="1"/>
  <c r="V92" i="19" s="1"/>
  <c r="Z88" i="19"/>
  <c r="Z90" i="19" s="1"/>
  <c r="Z92" i="19" s="1"/>
  <c r="AF102" i="19"/>
  <c r="M88" i="19"/>
  <c r="U88" i="19"/>
  <c r="U90" i="19" s="1"/>
  <c r="U92" i="19" s="1"/>
  <c r="AD88" i="19"/>
  <c r="AD101" i="19" s="1"/>
  <c r="AA33" i="19"/>
  <c r="E110" i="19"/>
  <c r="F110" i="19" s="1"/>
  <c r="W88" i="19"/>
  <c r="W90" i="19" s="1"/>
  <c r="W92" i="19" s="1"/>
  <c r="H88" i="19"/>
  <c r="H102" i="19" s="1"/>
  <c r="P88" i="19"/>
  <c r="P90" i="19" s="1"/>
  <c r="P92" i="19" s="1"/>
  <c r="X88" i="19"/>
  <c r="X90" i="19" s="1"/>
  <c r="X92" i="19" s="1"/>
  <c r="AA49" i="19"/>
  <c r="AA86" i="19"/>
  <c r="O88" i="19"/>
  <c r="O90" i="19" s="1"/>
  <c r="O92" i="19" s="1"/>
  <c r="I88" i="19"/>
  <c r="I90" i="19" s="1"/>
  <c r="I92" i="19" s="1"/>
  <c r="Q88" i="19"/>
  <c r="Q90" i="19" s="1"/>
  <c r="Q92" i="19" s="1"/>
  <c r="Y88" i="19"/>
  <c r="E111" i="19"/>
  <c r="F111" i="19" s="1"/>
  <c r="E113" i="19"/>
  <c r="F113" i="19" s="1"/>
  <c r="E114" i="19"/>
  <c r="F114" i="19" s="1"/>
  <c r="G88" i="19"/>
  <c r="G90" i="19" s="1"/>
  <c r="G92" i="19" s="1"/>
  <c r="AA18" i="19"/>
  <c r="S88" i="19"/>
  <c r="S90" i="19" s="1"/>
  <c r="S92" i="19" s="1"/>
  <c r="K88" i="19"/>
  <c r="AD102" i="19"/>
  <c r="L88" i="19"/>
  <c r="L102" i="19" s="1"/>
  <c r="T88" i="19"/>
  <c r="T90" i="19" s="1"/>
  <c r="T92" i="19" s="1"/>
  <c r="AC102" i="19"/>
  <c r="E112" i="19"/>
  <c r="F112" i="19" s="1"/>
  <c r="F97" i="19"/>
  <c r="M90" i="19"/>
  <c r="M92" i="19" s="1"/>
  <c r="Y90" i="19"/>
  <c r="Y92" i="19" s="1"/>
  <c r="AA12" i="19"/>
  <c r="AE102" i="19"/>
  <c r="AE88" i="19"/>
  <c r="AE101" i="19" s="1"/>
  <c r="AG102" i="19"/>
  <c r="AG88" i="19"/>
  <c r="AG101" i="19" s="1"/>
  <c r="F90" i="19"/>
  <c r="F92" i="19" s="1"/>
  <c r="L101" i="19"/>
  <c r="N90" i="19"/>
  <c r="N92" i="19" s="1"/>
  <c r="AC88" i="19"/>
  <c r="AC101" i="19" s="1"/>
  <c r="Q95" i="19"/>
  <c r="Q96" i="19" s="1"/>
  <c r="U95" i="19"/>
  <c r="U96" i="19" s="1"/>
  <c r="Y95" i="19"/>
  <c r="Y96" i="19" s="1"/>
  <c r="AB88" i="19"/>
  <c r="AB101" i="19" s="1"/>
  <c r="AF88" i="19"/>
  <c r="AF101" i="19" s="1"/>
  <c r="H97" i="19"/>
  <c r="L97" i="19"/>
  <c r="P95" i="19"/>
  <c r="P96" i="19" s="1"/>
  <c r="R95" i="19"/>
  <c r="T95" i="19"/>
  <c r="T96" i="19" s="1"/>
  <c r="V95" i="19"/>
  <c r="X95" i="19"/>
  <c r="X96" i="19" s="1"/>
  <c r="Z95" i="19"/>
  <c r="G95" i="19"/>
  <c r="I95" i="19"/>
  <c r="I96" i="19" s="1"/>
  <c r="K95" i="19"/>
  <c r="M95" i="19"/>
  <c r="O95" i="19"/>
  <c r="S95" i="19"/>
  <c r="W95" i="19"/>
  <c r="J96" i="19"/>
  <c r="N96" i="19"/>
  <c r="AB102" i="19"/>
  <c r="V113" i="12"/>
  <c r="V101" i="19" l="1"/>
  <c r="S101" i="19"/>
  <c r="F102" i="19"/>
  <c r="J101" i="19"/>
  <c r="Z101" i="19"/>
  <c r="R101" i="19"/>
  <c r="F103" i="19"/>
  <c r="N102" i="19"/>
  <c r="P102" i="19"/>
  <c r="AC103" i="19"/>
  <c r="L90" i="19"/>
  <c r="L92" i="19" s="1"/>
  <c r="X102" i="19"/>
  <c r="T102" i="19"/>
  <c r="AE103" i="19"/>
  <c r="J102" i="19"/>
  <c r="J97" i="19"/>
  <c r="M96" i="19"/>
  <c r="M102" i="19" s="1"/>
  <c r="M97" i="19"/>
  <c r="K96" i="19"/>
  <c r="AB103" i="19"/>
  <c r="K101" i="19"/>
  <c r="H101" i="19"/>
  <c r="H103" i="19" s="1"/>
  <c r="AA88" i="19"/>
  <c r="H90" i="19"/>
  <c r="H92" i="19" s="1"/>
  <c r="AD103" i="19"/>
  <c r="AF103" i="19"/>
  <c r="L103" i="19"/>
  <c r="AG103" i="19"/>
  <c r="K90" i="19"/>
  <c r="K92" i="19" s="1"/>
  <c r="F115" i="19"/>
  <c r="E115" i="19"/>
  <c r="W96" i="19"/>
  <c r="W102" i="19" s="1"/>
  <c r="W101" i="19"/>
  <c r="V96" i="19"/>
  <c r="V102" i="19" s="1"/>
  <c r="V103" i="19" s="1"/>
  <c r="U101" i="19"/>
  <c r="O101" i="19"/>
  <c r="O96" i="19"/>
  <c r="G96" i="19"/>
  <c r="G102" i="19" s="1"/>
  <c r="G101" i="19"/>
  <c r="I102" i="19"/>
  <c r="I97" i="19"/>
  <c r="Y102" i="19"/>
  <c r="Y97" i="19"/>
  <c r="Q102" i="19"/>
  <c r="Q97" i="19"/>
  <c r="U102" i="19"/>
  <c r="U97" i="19"/>
  <c r="N97" i="19"/>
  <c r="S96" i="19"/>
  <c r="S102" i="19" s="1"/>
  <c r="S103" i="19" s="1"/>
  <c r="X101" i="19"/>
  <c r="T101" i="19"/>
  <c r="P101" i="19"/>
  <c r="Y101" i="19"/>
  <c r="Q101" i="19"/>
  <c r="M101" i="19"/>
  <c r="M103" i="19" s="1"/>
  <c r="I101" i="19"/>
  <c r="Z96" i="19"/>
  <c r="Z102" i="19" s="1"/>
  <c r="R96" i="19"/>
  <c r="R102" i="19" s="1"/>
  <c r="X97" i="19"/>
  <c r="T97" i="19"/>
  <c r="P97" i="19"/>
  <c r="N103" i="19"/>
  <c r="J103" i="19"/>
  <c r="Y125" i="18"/>
  <c r="Y118" i="18"/>
  <c r="Y117" i="18"/>
  <c r="T103" i="19" l="1"/>
  <c r="R103" i="19"/>
  <c r="X103" i="19"/>
  <c r="Z103" i="19"/>
  <c r="P103" i="19"/>
  <c r="D106" i="19"/>
  <c r="O102" i="19"/>
  <c r="O97" i="19"/>
  <c r="K102" i="19"/>
  <c r="K103" i="19" s="1"/>
  <c r="K97" i="19"/>
  <c r="S97" i="19"/>
  <c r="U103" i="19"/>
  <c r="V97" i="19"/>
  <c r="G103" i="19"/>
  <c r="O103" i="19"/>
  <c r="Z97" i="19"/>
  <c r="W103" i="19"/>
  <c r="G97" i="19"/>
  <c r="W97" i="19"/>
  <c r="R97" i="19"/>
  <c r="I103" i="19"/>
  <c r="Q103" i="19"/>
  <c r="Y103" i="19"/>
  <c r="Z94" i="18"/>
  <c r="Y94" i="18"/>
  <c r="X94" i="18"/>
  <c r="W94" i="18"/>
  <c r="V94" i="18"/>
  <c r="U94" i="18"/>
  <c r="Q94" i="18"/>
  <c r="P94" i="18"/>
  <c r="P95" i="18" s="1"/>
  <c r="P96" i="18" s="1"/>
  <c r="O94" i="18"/>
  <c r="M94" i="18"/>
  <c r="L94" i="18"/>
  <c r="H94" i="18"/>
  <c r="H95" i="18" s="1"/>
  <c r="H96" i="18" s="1"/>
  <c r="G94" i="18"/>
  <c r="F94" i="18"/>
  <c r="AG96" i="18"/>
  <c r="AG97" i="18" s="1"/>
  <c r="AF96" i="18"/>
  <c r="AF97" i="18" s="1"/>
  <c r="AE96" i="18"/>
  <c r="AE97" i="18" s="1"/>
  <c r="AD96" i="18"/>
  <c r="AD97" i="18" s="1"/>
  <c r="AC96" i="18"/>
  <c r="AC97" i="18" s="1"/>
  <c r="AB96" i="18"/>
  <c r="AB97" i="18" s="1"/>
  <c r="X95" i="18"/>
  <c r="X96" i="18" s="1"/>
  <c r="T94" i="18"/>
  <c r="S94" i="18"/>
  <c r="R94" i="18"/>
  <c r="N94" i="18"/>
  <c r="K94" i="18"/>
  <c r="K95" i="18" s="1"/>
  <c r="J94" i="18"/>
  <c r="I94" i="18"/>
  <c r="Z91" i="18"/>
  <c r="Y91" i="18"/>
  <c r="X91" i="18"/>
  <c r="W91" i="18"/>
  <c r="V91" i="18"/>
  <c r="U91" i="18"/>
  <c r="T91" i="18"/>
  <c r="S91" i="18"/>
  <c r="R91" i="18"/>
  <c r="Q91" i="18"/>
  <c r="P91" i="18"/>
  <c r="O91" i="18"/>
  <c r="N91" i="18"/>
  <c r="M91" i="18"/>
  <c r="L91" i="18"/>
  <c r="K91" i="18"/>
  <c r="J91" i="18"/>
  <c r="I91" i="18"/>
  <c r="H91" i="18"/>
  <c r="G91" i="18"/>
  <c r="AG86" i="18"/>
  <c r="AF86" i="18"/>
  <c r="AE86" i="18"/>
  <c r="AD86" i="18"/>
  <c r="AC86" i="18"/>
  <c r="AB86" i="18"/>
  <c r="Z86" i="18"/>
  <c r="Y86" i="18"/>
  <c r="X86" i="18"/>
  <c r="W86" i="18"/>
  <c r="V86" i="18"/>
  <c r="U86" i="18"/>
  <c r="T86" i="18"/>
  <c r="S86" i="18"/>
  <c r="R86" i="18"/>
  <c r="Q86" i="18"/>
  <c r="P86" i="18"/>
  <c r="O86" i="18"/>
  <c r="N86" i="18"/>
  <c r="M86" i="18"/>
  <c r="L86" i="18"/>
  <c r="K86" i="18"/>
  <c r="J86" i="18"/>
  <c r="I86" i="18"/>
  <c r="H86" i="18"/>
  <c r="G86" i="18"/>
  <c r="F86" i="18"/>
  <c r="AG57" i="18"/>
  <c r="AF57" i="18"/>
  <c r="AE57" i="18"/>
  <c r="AC57" i="18"/>
  <c r="Z57" i="18"/>
  <c r="Y57" i="18"/>
  <c r="X57" i="18"/>
  <c r="W57" i="18"/>
  <c r="V57" i="18"/>
  <c r="U57" i="18"/>
  <c r="T57" i="18"/>
  <c r="S57" i="18"/>
  <c r="R57" i="18"/>
  <c r="Q57" i="18"/>
  <c r="P57" i="18"/>
  <c r="O57" i="18"/>
  <c r="N57" i="18"/>
  <c r="M57" i="18"/>
  <c r="L57" i="18"/>
  <c r="K57" i="18"/>
  <c r="J57" i="18"/>
  <c r="I57" i="18"/>
  <c r="H57" i="18"/>
  <c r="G57" i="18"/>
  <c r="F57" i="18"/>
  <c r="AD52" i="18"/>
  <c r="AD57" i="18" s="1"/>
  <c r="AB52" i="18"/>
  <c r="AB57" i="18" s="1"/>
  <c r="AG49" i="18"/>
  <c r="AF49" i="18"/>
  <c r="AE49" i="18"/>
  <c r="AD49" i="18"/>
  <c r="AC49" i="18"/>
  <c r="AB49" i="18"/>
  <c r="Z49" i="18"/>
  <c r="Y49" i="18"/>
  <c r="X49" i="18"/>
  <c r="W49" i="18"/>
  <c r="V49" i="18"/>
  <c r="U49" i="18"/>
  <c r="T49" i="18"/>
  <c r="S49" i="18"/>
  <c r="R49" i="18"/>
  <c r="Q49" i="18"/>
  <c r="P49" i="18"/>
  <c r="O49" i="18"/>
  <c r="N49" i="18"/>
  <c r="M49" i="18"/>
  <c r="L49" i="18"/>
  <c r="K49" i="18"/>
  <c r="J49" i="18"/>
  <c r="I49" i="18"/>
  <c r="H49" i="18"/>
  <c r="G49" i="18"/>
  <c r="F49" i="18"/>
  <c r="AG33" i="18"/>
  <c r="AF33" i="18"/>
  <c r="AE33" i="18"/>
  <c r="AD33" i="18"/>
  <c r="AC33" i="18"/>
  <c r="AB33" i="18"/>
  <c r="Z33" i="18"/>
  <c r="Y33" i="18"/>
  <c r="X33" i="18"/>
  <c r="W33" i="18"/>
  <c r="V33" i="18"/>
  <c r="U33" i="18"/>
  <c r="T33" i="18"/>
  <c r="S33" i="18"/>
  <c r="R33" i="18"/>
  <c r="Q33" i="18"/>
  <c r="P33" i="18"/>
  <c r="O33" i="18"/>
  <c r="N33" i="18"/>
  <c r="M33" i="18"/>
  <c r="L33" i="18"/>
  <c r="K33" i="18"/>
  <c r="J33" i="18"/>
  <c r="I33" i="18"/>
  <c r="H33" i="18"/>
  <c r="G33" i="18"/>
  <c r="F33" i="18"/>
  <c r="AG18" i="18"/>
  <c r="AF18" i="18"/>
  <c r="AE18" i="18"/>
  <c r="AD18" i="18"/>
  <c r="AC18" i="18"/>
  <c r="AB18" i="18"/>
  <c r="Z18" i="18"/>
  <c r="Y18" i="18"/>
  <c r="X18" i="18"/>
  <c r="W18" i="18"/>
  <c r="V18" i="18"/>
  <c r="U18" i="18"/>
  <c r="T18" i="18"/>
  <c r="S18" i="18"/>
  <c r="R18" i="18"/>
  <c r="Q18" i="18"/>
  <c r="P18" i="18"/>
  <c r="O18" i="18"/>
  <c r="N18" i="18"/>
  <c r="M18" i="18"/>
  <c r="L18" i="18"/>
  <c r="K18" i="18"/>
  <c r="J18" i="18"/>
  <c r="I18" i="18"/>
  <c r="H18" i="18"/>
  <c r="G18" i="18"/>
  <c r="F18" i="18"/>
  <c r="AG12" i="18"/>
  <c r="AF12" i="18"/>
  <c r="AE12" i="18"/>
  <c r="AD12" i="18"/>
  <c r="AC12" i="18"/>
  <c r="AB12" i="18"/>
  <c r="Z12" i="18"/>
  <c r="Y12" i="18"/>
  <c r="X12" i="18"/>
  <c r="W12" i="18"/>
  <c r="V12" i="18"/>
  <c r="U12" i="18"/>
  <c r="T12" i="18"/>
  <c r="S12" i="18"/>
  <c r="R12" i="18"/>
  <c r="Q12" i="18"/>
  <c r="P12" i="18"/>
  <c r="O12" i="18"/>
  <c r="N12" i="18"/>
  <c r="M12" i="18"/>
  <c r="L12" i="18"/>
  <c r="K12" i="18"/>
  <c r="J12" i="18"/>
  <c r="I12" i="18"/>
  <c r="H12" i="18"/>
  <c r="G12" i="18"/>
  <c r="F12" i="18"/>
  <c r="Y91" i="17"/>
  <c r="AG96" i="17"/>
  <c r="AG97" i="17" s="1"/>
  <c r="AF96" i="17"/>
  <c r="AF97" i="17" s="1"/>
  <c r="AE96" i="17"/>
  <c r="AE97" i="17" s="1"/>
  <c r="AD96" i="17"/>
  <c r="AD97" i="17" s="1"/>
  <c r="AC96" i="17"/>
  <c r="AC97" i="17" s="1"/>
  <c r="AB96" i="17"/>
  <c r="AB97" i="17" s="1"/>
  <c r="Z94" i="17"/>
  <c r="Y94" i="17"/>
  <c r="Y95" i="17" s="1"/>
  <c r="X94" i="17"/>
  <c r="W94" i="17"/>
  <c r="V94" i="17"/>
  <c r="U94" i="17"/>
  <c r="T94" i="17"/>
  <c r="S94" i="17"/>
  <c r="R94" i="17"/>
  <c r="Q94" i="17"/>
  <c r="Q95" i="17" s="1"/>
  <c r="P94" i="17"/>
  <c r="O94" i="17"/>
  <c r="N94" i="17"/>
  <c r="M94" i="17"/>
  <c r="L94" i="17"/>
  <c r="K94" i="17"/>
  <c r="J94" i="17"/>
  <c r="I94" i="17"/>
  <c r="I95" i="17" s="1"/>
  <c r="H94" i="17"/>
  <c r="G94" i="17"/>
  <c r="F94" i="17"/>
  <c r="Z91" i="17"/>
  <c r="X91" i="17"/>
  <c r="W91" i="17"/>
  <c r="V91" i="17"/>
  <c r="U91" i="17"/>
  <c r="T91" i="17"/>
  <c r="S91" i="17"/>
  <c r="R91" i="17"/>
  <c r="Q91" i="17"/>
  <c r="P91" i="17"/>
  <c r="O91" i="17"/>
  <c r="N91" i="17"/>
  <c r="M91" i="17"/>
  <c r="L91" i="17"/>
  <c r="K91" i="17"/>
  <c r="J91" i="17"/>
  <c r="I91" i="17"/>
  <c r="H91" i="17"/>
  <c r="G91" i="17"/>
  <c r="AG86" i="17"/>
  <c r="AF86" i="17"/>
  <c r="AE86" i="17"/>
  <c r="AD86" i="17"/>
  <c r="AC86" i="17"/>
  <c r="AB86" i="17"/>
  <c r="Z86" i="17"/>
  <c r="Y86" i="17"/>
  <c r="X86" i="17"/>
  <c r="W86" i="17"/>
  <c r="V86" i="17"/>
  <c r="U86" i="17"/>
  <c r="T86" i="17"/>
  <c r="S86" i="17"/>
  <c r="R86" i="17"/>
  <c r="Q86" i="17"/>
  <c r="P86" i="17"/>
  <c r="O86" i="17"/>
  <c r="N86" i="17"/>
  <c r="M86" i="17"/>
  <c r="L86" i="17"/>
  <c r="K86" i="17"/>
  <c r="J86" i="17"/>
  <c r="I86" i="17"/>
  <c r="H86" i="17"/>
  <c r="G86" i="17"/>
  <c r="F86" i="17"/>
  <c r="AG57" i="17"/>
  <c r="AF57" i="17"/>
  <c r="AE57" i="17"/>
  <c r="AC57" i="17"/>
  <c r="Z57" i="17"/>
  <c r="Y57" i="17"/>
  <c r="X57" i="17"/>
  <c r="W57" i="17"/>
  <c r="V57" i="17"/>
  <c r="U57" i="17"/>
  <c r="T57" i="17"/>
  <c r="S57" i="17"/>
  <c r="R57" i="17"/>
  <c r="Q57" i="17"/>
  <c r="P57" i="17"/>
  <c r="O57" i="17"/>
  <c r="N57" i="17"/>
  <c r="M57" i="17"/>
  <c r="L57" i="17"/>
  <c r="K57" i="17"/>
  <c r="J57" i="17"/>
  <c r="I57" i="17"/>
  <c r="H57" i="17"/>
  <c r="G57" i="17"/>
  <c r="F57" i="17"/>
  <c r="AD52" i="17"/>
  <c r="AD57" i="17" s="1"/>
  <c r="AB52" i="17"/>
  <c r="AB57" i="17" s="1"/>
  <c r="AG49" i="17"/>
  <c r="AF49" i="17"/>
  <c r="AE49" i="17"/>
  <c r="AD49" i="17"/>
  <c r="AC49" i="17"/>
  <c r="AB49" i="17"/>
  <c r="Z49" i="17"/>
  <c r="Y49" i="17"/>
  <c r="X49" i="17"/>
  <c r="W49" i="17"/>
  <c r="V49" i="17"/>
  <c r="U49" i="17"/>
  <c r="T49" i="17"/>
  <c r="S49" i="17"/>
  <c r="R49" i="17"/>
  <c r="Q49" i="17"/>
  <c r="P49" i="17"/>
  <c r="O49" i="17"/>
  <c r="N49" i="17"/>
  <c r="M49" i="17"/>
  <c r="L49" i="17"/>
  <c r="K49" i="17"/>
  <c r="J49" i="17"/>
  <c r="I49" i="17"/>
  <c r="H49" i="17"/>
  <c r="G49" i="17"/>
  <c r="F49" i="17"/>
  <c r="AG33" i="17"/>
  <c r="AF33" i="17"/>
  <c r="AE33" i="17"/>
  <c r="AD33" i="17"/>
  <c r="AC33" i="17"/>
  <c r="AB33" i="17"/>
  <c r="Z33" i="17"/>
  <c r="Y33" i="17"/>
  <c r="X33" i="17"/>
  <c r="W33" i="17"/>
  <c r="V33" i="17"/>
  <c r="U33" i="17"/>
  <c r="T33" i="17"/>
  <c r="S33" i="17"/>
  <c r="R33" i="17"/>
  <c r="Q33" i="17"/>
  <c r="P33" i="17"/>
  <c r="O33" i="17"/>
  <c r="N33" i="17"/>
  <c r="M33" i="17"/>
  <c r="L33" i="17"/>
  <c r="K33" i="17"/>
  <c r="J33" i="17"/>
  <c r="I33" i="17"/>
  <c r="H33" i="17"/>
  <c r="G33" i="17"/>
  <c r="F33" i="17"/>
  <c r="AG18" i="17"/>
  <c r="AF18" i="17"/>
  <c r="AE18" i="17"/>
  <c r="AD18" i="17"/>
  <c r="AC18" i="17"/>
  <c r="AB18" i="17"/>
  <c r="Z18" i="17"/>
  <c r="Y18" i="17"/>
  <c r="X18" i="17"/>
  <c r="W18" i="17"/>
  <c r="V18" i="17"/>
  <c r="U18" i="17"/>
  <c r="T18" i="17"/>
  <c r="S18" i="17"/>
  <c r="R18" i="17"/>
  <c r="Q18" i="17"/>
  <c r="P18" i="17"/>
  <c r="O18" i="17"/>
  <c r="N18" i="17"/>
  <c r="M18" i="17"/>
  <c r="L18" i="17"/>
  <c r="K18" i="17"/>
  <c r="J18" i="17"/>
  <c r="I18" i="17"/>
  <c r="H18" i="17"/>
  <c r="G18" i="17"/>
  <c r="F18" i="17"/>
  <c r="AG12" i="17"/>
  <c r="AF12" i="17"/>
  <c r="AE12" i="17"/>
  <c r="AD12" i="17"/>
  <c r="AC12" i="17"/>
  <c r="AB12" i="17"/>
  <c r="Z12" i="17"/>
  <c r="Y12" i="17"/>
  <c r="X12" i="17"/>
  <c r="W12" i="17"/>
  <c r="V12" i="17"/>
  <c r="U12" i="17"/>
  <c r="T12" i="17"/>
  <c r="S12" i="17"/>
  <c r="R12" i="17"/>
  <c r="Q12" i="17"/>
  <c r="P12" i="17"/>
  <c r="O12" i="17"/>
  <c r="N12" i="17"/>
  <c r="M12" i="17"/>
  <c r="L12" i="17"/>
  <c r="K12" i="17"/>
  <c r="J12" i="17"/>
  <c r="I12" i="17"/>
  <c r="H12" i="17"/>
  <c r="G12" i="17"/>
  <c r="F12" i="17"/>
  <c r="AG96" i="16"/>
  <c r="AG97" i="16" s="1"/>
  <c r="AF96" i="16"/>
  <c r="AF97" i="16" s="1"/>
  <c r="AE96" i="16"/>
  <c r="AE97" i="16" s="1"/>
  <c r="AD96" i="16"/>
  <c r="AD97" i="16" s="1"/>
  <c r="AC96" i="16"/>
  <c r="AC97" i="16" s="1"/>
  <c r="AB96" i="16"/>
  <c r="AB97" i="16" s="1"/>
  <c r="Z94" i="16"/>
  <c r="Y94" i="16"/>
  <c r="X94" i="16"/>
  <c r="X95" i="16" s="1"/>
  <c r="W94" i="16"/>
  <c r="V94" i="16"/>
  <c r="U94" i="16"/>
  <c r="T94" i="16"/>
  <c r="S94" i="16"/>
  <c r="R94" i="16"/>
  <c r="Q94" i="16"/>
  <c r="P94" i="16"/>
  <c r="P95" i="16" s="1"/>
  <c r="O94" i="16"/>
  <c r="N94" i="16"/>
  <c r="M94" i="16"/>
  <c r="L94" i="16"/>
  <c r="K94" i="16"/>
  <c r="J94" i="16"/>
  <c r="I94" i="16"/>
  <c r="H94" i="16"/>
  <c r="H95" i="16" s="1"/>
  <c r="G94" i="16"/>
  <c r="F94" i="16"/>
  <c r="Z91" i="16"/>
  <c r="Y91" i="16"/>
  <c r="X91" i="16"/>
  <c r="W91" i="16"/>
  <c r="V91" i="16"/>
  <c r="U91" i="16"/>
  <c r="T91" i="16"/>
  <c r="S91" i="16"/>
  <c r="R91" i="16"/>
  <c r="Q91" i="16"/>
  <c r="P91" i="16"/>
  <c r="O91" i="16"/>
  <c r="N91" i="16"/>
  <c r="M91" i="16"/>
  <c r="L91" i="16"/>
  <c r="K91" i="16"/>
  <c r="J91" i="16"/>
  <c r="I91" i="16"/>
  <c r="H91" i="16"/>
  <c r="G91" i="16"/>
  <c r="AG86" i="16"/>
  <c r="AF86" i="16"/>
  <c r="AE86" i="16"/>
  <c r="AD86" i="16"/>
  <c r="AC86" i="16"/>
  <c r="AB86" i="16"/>
  <c r="Z86" i="16"/>
  <c r="Y86" i="16"/>
  <c r="X86" i="16"/>
  <c r="W86" i="16"/>
  <c r="V86" i="16"/>
  <c r="U86" i="16"/>
  <c r="T86" i="16"/>
  <c r="S86" i="16"/>
  <c r="R86" i="16"/>
  <c r="Q86" i="16"/>
  <c r="P86" i="16"/>
  <c r="O86" i="16"/>
  <c r="N86" i="16"/>
  <c r="M86" i="16"/>
  <c r="L86" i="16"/>
  <c r="K86" i="16"/>
  <c r="J86" i="16"/>
  <c r="I86" i="16"/>
  <c r="H86" i="16"/>
  <c r="G86" i="16"/>
  <c r="F86" i="16"/>
  <c r="AG57" i="16"/>
  <c r="AF57" i="16"/>
  <c r="AE57" i="16"/>
  <c r="AC57" i="16"/>
  <c r="Z57" i="16"/>
  <c r="Y57" i="16"/>
  <c r="X57" i="16"/>
  <c r="W57" i="16"/>
  <c r="V57" i="16"/>
  <c r="U57" i="16"/>
  <c r="T57" i="16"/>
  <c r="S57" i="16"/>
  <c r="R57" i="16"/>
  <c r="Q57" i="16"/>
  <c r="P57" i="16"/>
  <c r="O57" i="16"/>
  <c r="N57" i="16"/>
  <c r="M57" i="16"/>
  <c r="L57" i="16"/>
  <c r="K57" i="16"/>
  <c r="J57" i="16"/>
  <c r="I57" i="16"/>
  <c r="H57" i="16"/>
  <c r="G57" i="16"/>
  <c r="F57" i="16"/>
  <c r="AD52" i="16"/>
  <c r="AD57" i="16" s="1"/>
  <c r="AB52" i="16"/>
  <c r="AB57" i="16" s="1"/>
  <c r="AG49" i="16"/>
  <c r="AF49" i="16"/>
  <c r="AE49" i="16"/>
  <c r="AD49" i="16"/>
  <c r="AC49" i="16"/>
  <c r="AB49" i="16"/>
  <c r="Z49" i="16"/>
  <c r="Y49" i="16"/>
  <c r="X49" i="16"/>
  <c r="W49" i="16"/>
  <c r="V49" i="16"/>
  <c r="U49" i="16"/>
  <c r="T49" i="16"/>
  <c r="S49" i="16"/>
  <c r="R49" i="16"/>
  <c r="Q49" i="16"/>
  <c r="P49" i="16"/>
  <c r="O49" i="16"/>
  <c r="N49" i="16"/>
  <c r="M49" i="16"/>
  <c r="L49" i="16"/>
  <c r="K49" i="16"/>
  <c r="J49" i="16"/>
  <c r="I49" i="16"/>
  <c r="H49" i="16"/>
  <c r="G49" i="16"/>
  <c r="F49" i="16"/>
  <c r="AG33" i="16"/>
  <c r="AF33" i="16"/>
  <c r="AE33" i="16"/>
  <c r="AD33" i="16"/>
  <c r="AC33" i="16"/>
  <c r="AB33" i="16"/>
  <c r="Z33" i="16"/>
  <c r="Y33" i="16"/>
  <c r="X33" i="16"/>
  <c r="W33" i="16"/>
  <c r="V33" i="16"/>
  <c r="U33" i="16"/>
  <c r="T33" i="16"/>
  <c r="S33" i="16"/>
  <c r="R33" i="16"/>
  <c r="Q33" i="16"/>
  <c r="P33" i="16"/>
  <c r="O33" i="16"/>
  <c r="N33" i="16"/>
  <c r="M33" i="16"/>
  <c r="L33" i="16"/>
  <c r="K33" i="16"/>
  <c r="J33" i="16"/>
  <c r="I33" i="16"/>
  <c r="H33" i="16"/>
  <c r="G33" i="16"/>
  <c r="F33" i="16"/>
  <c r="AG18" i="16"/>
  <c r="AF18" i="16"/>
  <c r="AE18" i="16"/>
  <c r="AD18" i="16"/>
  <c r="AC18" i="16"/>
  <c r="AB18" i="16"/>
  <c r="Z18" i="16"/>
  <c r="Y18" i="16"/>
  <c r="X18" i="16"/>
  <c r="W18" i="16"/>
  <c r="V18" i="16"/>
  <c r="U18" i="16"/>
  <c r="T18" i="16"/>
  <c r="S18" i="16"/>
  <c r="R18" i="16"/>
  <c r="Q18" i="16"/>
  <c r="P18" i="16"/>
  <c r="O18" i="16"/>
  <c r="N18" i="16"/>
  <c r="M18" i="16"/>
  <c r="L18" i="16"/>
  <c r="K18" i="16"/>
  <c r="J18" i="16"/>
  <c r="I18" i="16"/>
  <c r="H18" i="16"/>
  <c r="G18" i="16"/>
  <c r="F18" i="16"/>
  <c r="AG12" i="16"/>
  <c r="AF12" i="16"/>
  <c r="AE12" i="16"/>
  <c r="AD12" i="16"/>
  <c r="AC12" i="16"/>
  <c r="AB12" i="16"/>
  <c r="Z12" i="16"/>
  <c r="Y12" i="16"/>
  <c r="X12" i="16"/>
  <c r="W12" i="16"/>
  <c r="V12" i="16"/>
  <c r="U12" i="16"/>
  <c r="T12" i="16"/>
  <c r="S12" i="16"/>
  <c r="R12" i="16"/>
  <c r="Q12" i="16"/>
  <c r="P12" i="16"/>
  <c r="O12" i="16"/>
  <c r="N12" i="16"/>
  <c r="M12" i="16"/>
  <c r="L12" i="16"/>
  <c r="K12" i="16"/>
  <c r="J12" i="16"/>
  <c r="I12" i="16"/>
  <c r="H12" i="16"/>
  <c r="G12" i="16"/>
  <c r="F12" i="16"/>
  <c r="AG96" i="15"/>
  <c r="AG97" i="15" s="1"/>
  <c r="AF96" i="15"/>
  <c r="AF97" i="15" s="1"/>
  <c r="AE96" i="15"/>
  <c r="AE97" i="15" s="1"/>
  <c r="AD96" i="15"/>
  <c r="AD97" i="15" s="1"/>
  <c r="AC96" i="15"/>
  <c r="AC97" i="15" s="1"/>
  <c r="AB96" i="15"/>
  <c r="AB97" i="15" s="1"/>
  <c r="Z94" i="15"/>
  <c r="Y94" i="15"/>
  <c r="Y95" i="15" s="1"/>
  <c r="X94" i="15"/>
  <c r="W94" i="15"/>
  <c r="V94" i="15"/>
  <c r="U94" i="15"/>
  <c r="T94" i="15"/>
  <c r="S94" i="15"/>
  <c r="R94" i="15"/>
  <c r="Q94" i="15"/>
  <c r="P94" i="15"/>
  <c r="O94" i="15"/>
  <c r="N94" i="15"/>
  <c r="M94" i="15"/>
  <c r="L94" i="15"/>
  <c r="K94" i="15"/>
  <c r="J94" i="15"/>
  <c r="I94" i="15"/>
  <c r="H94" i="15"/>
  <c r="G94" i="15"/>
  <c r="F94" i="15"/>
  <c r="Z91" i="15"/>
  <c r="Y91" i="15"/>
  <c r="X91" i="15"/>
  <c r="W91" i="15"/>
  <c r="V91" i="15"/>
  <c r="U91" i="15"/>
  <c r="T91" i="15"/>
  <c r="S91" i="15"/>
  <c r="R91" i="15"/>
  <c r="Q91" i="15"/>
  <c r="P91" i="15"/>
  <c r="O91" i="15"/>
  <c r="N91" i="15"/>
  <c r="M91" i="15"/>
  <c r="L91" i="15"/>
  <c r="K91" i="15"/>
  <c r="J91" i="15"/>
  <c r="I91" i="15"/>
  <c r="H91" i="15"/>
  <c r="G91" i="15"/>
  <c r="AG86" i="15"/>
  <c r="AF86" i="15"/>
  <c r="AE86" i="15"/>
  <c r="AD86" i="15"/>
  <c r="AC86" i="15"/>
  <c r="AB86" i="15"/>
  <c r="Z86" i="15"/>
  <c r="Y86" i="15"/>
  <c r="X86" i="15"/>
  <c r="W86" i="15"/>
  <c r="V86" i="15"/>
  <c r="U86" i="15"/>
  <c r="T86" i="15"/>
  <c r="S86" i="15"/>
  <c r="R86" i="15"/>
  <c r="Q86" i="15"/>
  <c r="P86" i="15"/>
  <c r="O86" i="15"/>
  <c r="N86" i="15"/>
  <c r="M86" i="15"/>
  <c r="L86" i="15"/>
  <c r="K86" i="15"/>
  <c r="J86" i="15"/>
  <c r="I86" i="15"/>
  <c r="H86" i="15"/>
  <c r="G86" i="15"/>
  <c r="F86" i="15"/>
  <c r="AG57" i="15"/>
  <c r="AF57" i="15"/>
  <c r="AE57" i="15"/>
  <c r="AC57" i="15"/>
  <c r="Z57" i="15"/>
  <c r="Y57" i="15"/>
  <c r="X57" i="15"/>
  <c r="W57" i="15"/>
  <c r="V57" i="15"/>
  <c r="U57" i="15"/>
  <c r="T57" i="15"/>
  <c r="S57" i="15"/>
  <c r="R57" i="15"/>
  <c r="Q57" i="15"/>
  <c r="P57" i="15"/>
  <c r="O57" i="15"/>
  <c r="N57" i="15"/>
  <c r="M57" i="15"/>
  <c r="L57" i="15"/>
  <c r="K57" i="15"/>
  <c r="J57" i="15"/>
  <c r="I57" i="15"/>
  <c r="H57" i="15"/>
  <c r="G57" i="15"/>
  <c r="F57" i="15"/>
  <c r="AD52" i="15"/>
  <c r="AD57" i="15" s="1"/>
  <c r="AB52" i="15"/>
  <c r="AB57" i="15" s="1"/>
  <c r="AG49" i="15"/>
  <c r="AF49" i="15"/>
  <c r="AE49" i="15"/>
  <c r="AD49" i="15"/>
  <c r="AC49" i="15"/>
  <c r="AB49" i="15"/>
  <c r="Z49" i="15"/>
  <c r="Y49" i="15"/>
  <c r="X49" i="15"/>
  <c r="W49" i="15"/>
  <c r="V49" i="15"/>
  <c r="U49" i="15"/>
  <c r="T49" i="15"/>
  <c r="S49" i="15"/>
  <c r="R49" i="15"/>
  <c r="Q49" i="15"/>
  <c r="P49" i="15"/>
  <c r="O49" i="15"/>
  <c r="N49" i="15"/>
  <c r="M49" i="15"/>
  <c r="L49" i="15"/>
  <c r="K49" i="15"/>
  <c r="J49" i="15"/>
  <c r="I49" i="15"/>
  <c r="H49" i="15"/>
  <c r="G49" i="15"/>
  <c r="F49" i="15"/>
  <c r="AG33" i="15"/>
  <c r="AF33" i="15"/>
  <c r="AE33" i="15"/>
  <c r="AD33" i="15"/>
  <c r="AC33" i="15"/>
  <c r="AB33" i="15"/>
  <c r="Z33" i="15"/>
  <c r="Y33" i="15"/>
  <c r="X33" i="15"/>
  <c r="W33" i="15"/>
  <c r="V33" i="15"/>
  <c r="U33" i="15"/>
  <c r="T33" i="15"/>
  <c r="S33" i="15"/>
  <c r="R33" i="15"/>
  <c r="Q33" i="15"/>
  <c r="P33" i="15"/>
  <c r="O33" i="15"/>
  <c r="N33" i="15"/>
  <c r="M33" i="15"/>
  <c r="L33" i="15"/>
  <c r="K33" i="15"/>
  <c r="J33" i="15"/>
  <c r="I33" i="15"/>
  <c r="H33" i="15"/>
  <c r="G33" i="15"/>
  <c r="F33" i="15"/>
  <c r="AG18" i="15"/>
  <c r="AF18" i="15"/>
  <c r="AE18" i="15"/>
  <c r="AD18" i="15"/>
  <c r="AC18" i="15"/>
  <c r="AB18" i="15"/>
  <c r="Z18" i="15"/>
  <c r="Y18" i="15"/>
  <c r="X18" i="15"/>
  <c r="W18" i="15"/>
  <c r="V18" i="15"/>
  <c r="U18" i="15"/>
  <c r="T18" i="15"/>
  <c r="S18" i="15"/>
  <c r="R18" i="15"/>
  <c r="Q18" i="15"/>
  <c r="P18" i="15"/>
  <c r="O18" i="15"/>
  <c r="N18" i="15"/>
  <c r="M18" i="15"/>
  <c r="L18" i="15"/>
  <c r="K18" i="15"/>
  <c r="J18" i="15"/>
  <c r="I18" i="15"/>
  <c r="H18" i="15"/>
  <c r="G18" i="15"/>
  <c r="F18" i="15"/>
  <c r="AG12" i="15"/>
  <c r="AF12" i="15"/>
  <c r="AE12" i="15"/>
  <c r="AD12" i="15"/>
  <c r="AC12" i="15"/>
  <c r="AB12" i="15"/>
  <c r="Z12" i="15"/>
  <c r="Y12" i="15"/>
  <c r="X12" i="15"/>
  <c r="W12" i="15"/>
  <c r="V12" i="15"/>
  <c r="U12" i="15"/>
  <c r="T12" i="15"/>
  <c r="S12" i="15"/>
  <c r="R12" i="15"/>
  <c r="Q12" i="15"/>
  <c r="P12" i="15"/>
  <c r="O12" i="15"/>
  <c r="N12" i="15"/>
  <c r="M12" i="15"/>
  <c r="L12" i="15"/>
  <c r="K12" i="15"/>
  <c r="J12" i="15"/>
  <c r="I12" i="15"/>
  <c r="H12" i="15"/>
  <c r="G12" i="15"/>
  <c r="F12" i="15"/>
  <c r="AG96" i="14"/>
  <c r="AG97" i="14" s="1"/>
  <c r="AF96" i="14"/>
  <c r="AF97" i="14" s="1"/>
  <c r="AE96" i="14"/>
  <c r="AE97" i="14" s="1"/>
  <c r="AD96" i="14"/>
  <c r="AD97" i="14" s="1"/>
  <c r="AC96" i="14"/>
  <c r="AC97" i="14" s="1"/>
  <c r="AB96" i="14"/>
  <c r="AB97" i="14" s="1"/>
  <c r="Z94" i="14"/>
  <c r="Y94" i="14"/>
  <c r="Y95" i="14" s="1"/>
  <c r="X94" i="14"/>
  <c r="W94" i="14"/>
  <c r="V94" i="14"/>
  <c r="U94" i="14"/>
  <c r="T94" i="14"/>
  <c r="S94" i="14"/>
  <c r="R94" i="14"/>
  <c r="Q94" i="14"/>
  <c r="Q95" i="14" s="1"/>
  <c r="P94" i="14"/>
  <c r="O94" i="14"/>
  <c r="N94" i="14"/>
  <c r="M94" i="14"/>
  <c r="L94" i="14"/>
  <c r="K94" i="14"/>
  <c r="J94" i="14"/>
  <c r="I94" i="14"/>
  <c r="H94" i="14"/>
  <c r="G94" i="14"/>
  <c r="G95" i="14" s="1"/>
  <c r="F94" i="14"/>
  <c r="Z91" i="14"/>
  <c r="Y91" i="14"/>
  <c r="X91" i="14"/>
  <c r="W91" i="14"/>
  <c r="V91" i="14"/>
  <c r="U91" i="14"/>
  <c r="T91" i="14"/>
  <c r="S91" i="14"/>
  <c r="R91" i="14"/>
  <c r="Q91" i="14"/>
  <c r="P91" i="14"/>
  <c r="O91" i="14"/>
  <c r="N91" i="14"/>
  <c r="M91" i="14"/>
  <c r="L91" i="14"/>
  <c r="K91" i="14"/>
  <c r="J91" i="14"/>
  <c r="I91" i="14"/>
  <c r="H91" i="14"/>
  <c r="G91" i="14"/>
  <c r="AG86" i="14"/>
  <c r="AF86" i="14"/>
  <c r="AE86" i="14"/>
  <c r="AD86" i="14"/>
  <c r="AC86" i="14"/>
  <c r="AB86" i="14"/>
  <c r="Z86" i="14"/>
  <c r="Y86" i="14"/>
  <c r="X86" i="14"/>
  <c r="W86" i="14"/>
  <c r="V86" i="14"/>
  <c r="U86" i="14"/>
  <c r="T86" i="14"/>
  <c r="S86" i="14"/>
  <c r="R86" i="14"/>
  <c r="Q86" i="14"/>
  <c r="P86" i="14"/>
  <c r="O86" i="14"/>
  <c r="N86" i="14"/>
  <c r="M86" i="14"/>
  <c r="L86" i="14"/>
  <c r="K86" i="14"/>
  <c r="J86" i="14"/>
  <c r="I86" i="14"/>
  <c r="H86" i="14"/>
  <c r="G86" i="14"/>
  <c r="F86" i="14"/>
  <c r="AG57" i="14"/>
  <c r="AF57" i="14"/>
  <c r="AE57" i="14"/>
  <c r="AC57" i="14"/>
  <c r="Z57" i="14"/>
  <c r="Y57" i="14"/>
  <c r="X57" i="14"/>
  <c r="W57" i="14"/>
  <c r="V57" i="14"/>
  <c r="U57" i="14"/>
  <c r="T57" i="14"/>
  <c r="S57" i="14"/>
  <c r="R57" i="14"/>
  <c r="Q57" i="14"/>
  <c r="P57" i="14"/>
  <c r="O57" i="14"/>
  <c r="N57" i="14"/>
  <c r="M57" i="14"/>
  <c r="L57" i="14"/>
  <c r="K57" i="14"/>
  <c r="J57" i="14"/>
  <c r="I57" i="14"/>
  <c r="H57" i="14"/>
  <c r="G57" i="14"/>
  <c r="F57" i="14"/>
  <c r="AD52" i="14"/>
  <c r="AD57" i="14" s="1"/>
  <c r="AB52" i="14"/>
  <c r="AB57" i="14" s="1"/>
  <c r="AG49" i="14"/>
  <c r="AF49" i="14"/>
  <c r="AE49" i="14"/>
  <c r="AD49" i="14"/>
  <c r="AC49" i="14"/>
  <c r="AB49" i="14"/>
  <c r="Z49" i="14"/>
  <c r="Y49" i="14"/>
  <c r="X49" i="14"/>
  <c r="W49" i="14"/>
  <c r="V49" i="14"/>
  <c r="U49" i="14"/>
  <c r="T49" i="14"/>
  <c r="S49" i="14"/>
  <c r="R49" i="14"/>
  <c r="Q49" i="14"/>
  <c r="P49" i="14"/>
  <c r="O49" i="14"/>
  <c r="N49" i="14"/>
  <c r="M49" i="14"/>
  <c r="L49" i="14"/>
  <c r="K49" i="14"/>
  <c r="J49" i="14"/>
  <c r="I49" i="14"/>
  <c r="H49" i="14"/>
  <c r="G49" i="14"/>
  <c r="F49" i="14"/>
  <c r="AG33" i="14"/>
  <c r="AF33" i="14"/>
  <c r="AE33" i="14"/>
  <c r="AD33" i="14"/>
  <c r="AC33" i="14"/>
  <c r="AB33" i="14"/>
  <c r="Z33" i="14"/>
  <c r="Y33" i="14"/>
  <c r="X33" i="14"/>
  <c r="W33" i="14"/>
  <c r="V33" i="14"/>
  <c r="U33" i="14"/>
  <c r="T33" i="14"/>
  <c r="S33" i="14"/>
  <c r="R33" i="14"/>
  <c r="Q33" i="14"/>
  <c r="P33" i="14"/>
  <c r="O33" i="14"/>
  <c r="N33" i="14"/>
  <c r="M33" i="14"/>
  <c r="L33" i="14"/>
  <c r="K33" i="14"/>
  <c r="J33" i="14"/>
  <c r="I33" i="14"/>
  <c r="H33" i="14"/>
  <c r="G33" i="14"/>
  <c r="F33" i="14"/>
  <c r="AG18" i="14"/>
  <c r="AF18" i="14"/>
  <c r="AE18" i="14"/>
  <c r="AD18" i="14"/>
  <c r="AC18" i="14"/>
  <c r="AB18" i="14"/>
  <c r="Z18" i="14"/>
  <c r="Y18" i="14"/>
  <c r="X18" i="14"/>
  <c r="W18" i="14"/>
  <c r="V18" i="14"/>
  <c r="U18" i="14"/>
  <c r="T18" i="14"/>
  <c r="S18" i="14"/>
  <c r="R18" i="14"/>
  <c r="Q18" i="14"/>
  <c r="P18" i="14"/>
  <c r="O18" i="14"/>
  <c r="N18" i="14"/>
  <c r="M18" i="14"/>
  <c r="L18" i="14"/>
  <c r="K18" i="14"/>
  <c r="J18" i="14"/>
  <c r="I18" i="14"/>
  <c r="H18" i="14"/>
  <c r="G18" i="14"/>
  <c r="F18" i="14"/>
  <c r="AG12" i="14"/>
  <c r="AF12" i="14"/>
  <c r="AE12" i="14"/>
  <c r="AD12" i="14"/>
  <c r="AC12" i="14"/>
  <c r="AB12" i="14"/>
  <c r="Z12" i="14"/>
  <c r="Y12" i="14"/>
  <c r="X12" i="14"/>
  <c r="W12" i="14"/>
  <c r="V12" i="14"/>
  <c r="U12" i="14"/>
  <c r="T12" i="14"/>
  <c r="S12" i="14"/>
  <c r="R12" i="14"/>
  <c r="Q12" i="14"/>
  <c r="P12" i="14"/>
  <c r="O12" i="14"/>
  <c r="N12" i="14"/>
  <c r="M12" i="14"/>
  <c r="L12" i="14"/>
  <c r="K12" i="14"/>
  <c r="J12" i="14"/>
  <c r="I12" i="14"/>
  <c r="H12" i="14"/>
  <c r="G12" i="14"/>
  <c r="F12" i="14"/>
  <c r="Z94" i="13"/>
  <c r="Y94" i="13"/>
  <c r="Y95" i="13" s="1"/>
  <c r="Y96" i="13" s="1"/>
  <c r="X94" i="13"/>
  <c r="W94" i="13"/>
  <c r="V94" i="13"/>
  <c r="U94" i="13"/>
  <c r="Q94" i="13"/>
  <c r="Q95" i="13" s="1"/>
  <c r="Q96" i="13" s="1"/>
  <c r="P94" i="13"/>
  <c r="O94" i="13"/>
  <c r="M94" i="13"/>
  <c r="L94" i="13"/>
  <c r="L95" i="13" s="1"/>
  <c r="L96" i="13" s="1"/>
  <c r="L97" i="13" s="1"/>
  <c r="H94" i="13"/>
  <c r="G94" i="13"/>
  <c r="G95" i="13" s="1"/>
  <c r="F94" i="13"/>
  <c r="AG96" i="13"/>
  <c r="AG97" i="13" s="1"/>
  <c r="AF96" i="13"/>
  <c r="AF97" i="13" s="1"/>
  <c r="AE96" i="13"/>
  <c r="AE97" i="13" s="1"/>
  <c r="AD96" i="13"/>
  <c r="AD97" i="13" s="1"/>
  <c r="AC96" i="13"/>
  <c r="AC97" i="13" s="1"/>
  <c r="AB96" i="13"/>
  <c r="AB97" i="13" s="1"/>
  <c r="T94" i="13"/>
  <c r="S94" i="13"/>
  <c r="R94" i="13"/>
  <c r="N94" i="13"/>
  <c r="K94" i="13"/>
  <c r="J94" i="13"/>
  <c r="I94" i="13"/>
  <c r="Z91" i="13"/>
  <c r="Y91" i="13"/>
  <c r="X91" i="13"/>
  <c r="W91" i="13"/>
  <c r="V91" i="13"/>
  <c r="U91" i="13"/>
  <c r="T91" i="13"/>
  <c r="S91" i="13"/>
  <c r="R91" i="13"/>
  <c r="Q91" i="13"/>
  <c r="P91" i="13"/>
  <c r="O91" i="13"/>
  <c r="N91" i="13"/>
  <c r="M91" i="13"/>
  <c r="L91" i="13"/>
  <c r="K91" i="13"/>
  <c r="J91" i="13"/>
  <c r="I91" i="13"/>
  <c r="H91" i="13"/>
  <c r="G91" i="13"/>
  <c r="AG86" i="13"/>
  <c r="AF86" i="13"/>
  <c r="AE86" i="13"/>
  <c r="AD86" i="13"/>
  <c r="AC86" i="13"/>
  <c r="AB86" i="13"/>
  <c r="Z86" i="13"/>
  <c r="Y86" i="13"/>
  <c r="X86" i="13"/>
  <c r="W86" i="13"/>
  <c r="V86" i="13"/>
  <c r="U86" i="13"/>
  <c r="T86" i="13"/>
  <c r="S86" i="13"/>
  <c r="R86" i="13"/>
  <c r="Q86" i="13"/>
  <c r="P86" i="13"/>
  <c r="O86" i="13"/>
  <c r="N86" i="13"/>
  <c r="M86" i="13"/>
  <c r="L86" i="13"/>
  <c r="K86" i="13"/>
  <c r="J86" i="13"/>
  <c r="I86" i="13"/>
  <c r="H86" i="13"/>
  <c r="G86" i="13"/>
  <c r="F86" i="13"/>
  <c r="AG57" i="13"/>
  <c r="AF57" i="13"/>
  <c r="AE57" i="13"/>
  <c r="AC57" i="13"/>
  <c r="Z57" i="13"/>
  <c r="Y57" i="13"/>
  <c r="X57" i="13"/>
  <c r="W57" i="13"/>
  <c r="V57" i="13"/>
  <c r="U57" i="13"/>
  <c r="T57" i="13"/>
  <c r="S57" i="13"/>
  <c r="R57" i="13"/>
  <c r="Q57" i="13"/>
  <c r="P57" i="13"/>
  <c r="O57" i="13"/>
  <c r="N57" i="13"/>
  <c r="M57" i="13"/>
  <c r="L57" i="13"/>
  <c r="K57" i="13"/>
  <c r="J57" i="13"/>
  <c r="I57" i="13"/>
  <c r="H57" i="13"/>
  <c r="G57" i="13"/>
  <c r="F57" i="13"/>
  <c r="AD52" i="13"/>
  <c r="AD57" i="13" s="1"/>
  <c r="AB52" i="13"/>
  <c r="AB57" i="13" s="1"/>
  <c r="AG49" i="13"/>
  <c r="AF49" i="13"/>
  <c r="AE49" i="13"/>
  <c r="AD49" i="13"/>
  <c r="AC49" i="13"/>
  <c r="AB49" i="13"/>
  <c r="Z49" i="13"/>
  <c r="Y49" i="13"/>
  <c r="X49" i="13"/>
  <c r="W49" i="13"/>
  <c r="V49" i="13"/>
  <c r="U49" i="13"/>
  <c r="T49" i="13"/>
  <c r="S49" i="13"/>
  <c r="R49" i="13"/>
  <c r="Q49" i="13"/>
  <c r="P49" i="13"/>
  <c r="O49" i="13"/>
  <c r="N49" i="13"/>
  <c r="M49" i="13"/>
  <c r="L49" i="13"/>
  <c r="K49" i="13"/>
  <c r="J49" i="13"/>
  <c r="I49" i="13"/>
  <c r="H49" i="13"/>
  <c r="G49" i="13"/>
  <c r="F49" i="13"/>
  <c r="AG33" i="13"/>
  <c r="AF33" i="13"/>
  <c r="AE33" i="13"/>
  <c r="AD33" i="13"/>
  <c r="AC33" i="13"/>
  <c r="AB33" i="13"/>
  <c r="Z33" i="13"/>
  <c r="Y33" i="13"/>
  <c r="X33" i="13"/>
  <c r="W33" i="13"/>
  <c r="V33" i="13"/>
  <c r="U33" i="13"/>
  <c r="T33" i="13"/>
  <c r="S33" i="13"/>
  <c r="R33" i="13"/>
  <c r="Q33" i="13"/>
  <c r="P33" i="13"/>
  <c r="O33" i="13"/>
  <c r="N33" i="13"/>
  <c r="M33" i="13"/>
  <c r="L33" i="13"/>
  <c r="K33" i="13"/>
  <c r="J33" i="13"/>
  <c r="I33" i="13"/>
  <c r="H33" i="13"/>
  <c r="G33" i="13"/>
  <c r="F33" i="13"/>
  <c r="AG18" i="13"/>
  <c r="AF18" i="13"/>
  <c r="AE18" i="13"/>
  <c r="AD18" i="13"/>
  <c r="AC18" i="13"/>
  <c r="AB18" i="13"/>
  <c r="Z18" i="13"/>
  <c r="Y18" i="13"/>
  <c r="X18" i="13"/>
  <c r="W18" i="13"/>
  <c r="V18" i="13"/>
  <c r="U18" i="13"/>
  <c r="T18" i="13"/>
  <c r="S18" i="13"/>
  <c r="R18" i="13"/>
  <c r="Q18" i="13"/>
  <c r="P18" i="13"/>
  <c r="O18" i="13"/>
  <c r="N18" i="13"/>
  <c r="M18" i="13"/>
  <c r="L18" i="13"/>
  <c r="K18" i="13"/>
  <c r="J18" i="13"/>
  <c r="I18" i="13"/>
  <c r="H18" i="13"/>
  <c r="G18" i="13"/>
  <c r="F18" i="13"/>
  <c r="AG12" i="13"/>
  <c r="AF12" i="13"/>
  <c r="AE12" i="13"/>
  <c r="AD12" i="13"/>
  <c r="AC12" i="13"/>
  <c r="AB12" i="13"/>
  <c r="Z12" i="13"/>
  <c r="Y12" i="13"/>
  <c r="X12" i="13"/>
  <c r="W12" i="13"/>
  <c r="V12" i="13"/>
  <c r="U12" i="13"/>
  <c r="T12" i="13"/>
  <c r="S12" i="13"/>
  <c r="R12" i="13"/>
  <c r="Q12" i="13"/>
  <c r="P12" i="13"/>
  <c r="O12" i="13"/>
  <c r="N12" i="13"/>
  <c r="M12" i="13"/>
  <c r="L12" i="13"/>
  <c r="K12" i="13"/>
  <c r="J12" i="13"/>
  <c r="I12" i="13"/>
  <c r="H12" i="13"/>
  <c r="G12" i="13"/>
  <c r="F12" i="13"/>
  <c r="Z94" i="12"/>
  <c r="Y94" i="12"/>
  <c r="X94" i="12"/>
  <c r="W94" i="12"/>
  <c r="V94" i="12"/>
  <c r="U94" i="12"/>
  <c r="U95" i="12" s="1"/>
  <c r="U96" i="12" s="1"/>
  <c r="Q94" i="12"/>
  <c r="P94" i="12"/>
  <c r="O94" i="12"/>
  <c r="M94" i="12"/>
  <c r="M95" i="12" s="1"/>
  <c r="L94" i="12"/>
  <c r="L95" i="12" s="1"/>
  <c r="L96" i="12" s="1"/>
  <c r="H94" i="12"/>
  <c r="G94" i="12"/>
  <c r="F94" i="12"/>
  <c r="AG96" i="12"/>
  <c r="AG97" i="12" s="1"/>
  <c r="AF96" i="12"/>
  <c r="AF97" i="12" s="1"/>
  <c r="AE96" i="12"/>
  <c r="AE97" i="12" s="1"/>
  <c r="AD96" i="12"/>
  <c r="AD97" i="12" s="1"/>
  <c r="AC96" i="12"/>
  <c r="AC97" i="12" s="1"/>
  <c r="AB96" i="12"/>
  <c r="AB97" i="12" s="1"/>
  <c r="T94" i="12"/>
  <c r="T95" i="12" s="1"/>
  <c r="S94" i="12"/>
  <c r="S95" i="12" s="1"/>
  <c r="R94" i="12"/>
  <c r="N94" i="12"/>
  <c r="K94" i="12"/>
  <c r="K95" i="12" s="1"/>
  <c r="J94" i="12"/>
  <c r="I94" i="12"/>
  <c r="Z91" i="12"/>
  <c r="Y91" i="12"/>
  <c r="X91" i="12"/>
  <c r="W91" i="12"/>
  <c r="V91" i="12"/>
  <c r="U91" i="12"/>
  <c r="T91" i="12"/>
  <c r="S91" i="12"/>
  <c r="R91" i="12"/>
  <c r="Q91" i="12"/>
  <c r="P91" i="12"/>
  <c r="O91" i="12"/>
  <c r="N91" i="12"/>
  <c r="M91" i="12"/>
  <c r="L91" i="12"/>
  <c r="K91" i="12"/>
  <c r="J91" i="12"/>
  <c r="I91" i="12"/>
  <c r="H91" i="12"/>
  <c r="G91" i="12"/>
  <c r="AG86" i="12"/>
  <c r="AF86" i="12"/>
  <c r="AE86" i="12"/>
  <c r="AD86" i="12"/>
  <c r="AC86" i="12"/>
  <c r="AB86" i="12"/>
  <c r="Z86" i="12"/>
  <c r="Y86" i="12"/>
  <c r="X86" i="12"/>
  <c r="W86" i="12"/>
  <c r="V86" i="12"/>
  <c r="U86" i="12"/>
  <c r="T86" i="12"/>
  <c r="S86" i="12"/>
  <c r="R86" i="12"/>
  <c r="Q86" i="12"/>
  <c r="P86" i="12"/>
  <c r="O86" i="12"/>
  <c r="N86" i="12"/>
  <c r="M86" i="12"/>
  <c r="L86" i="12"/>
  <c r="K86" i="12"/>
  <c r="J86" i="12"/>
  <c r="I86" i="12"/>
  <c r="H86" i="12"/>
  <c r="G86" i="12"/>
  <c r="F86" i="12"/>
  <c r="AG57" i="12"/>
  <c r="AF57" i="12"/>
  <c r="AE57" i="12"/>
  <c r="AC57" i="12"/>
  <c r="Z57" i="12"/>
  <c r="Y57" i="12"/>
  <c r="X57" i="12"/>
  <c r="W57" i="12"/>
  <c r="V57" i="12"/>
  <c r="U57" i="12"/>
  <c r="T57" i="12"/>
  <c r="S57" i="12"/>
  <c r="R57" i="12"/>
  <c r="Q57" i="12"/>
  <c r="P57" i="12"/>
  <c r="O57" i="12"/>
  <c r="N57" i="12"/>
  <c r="M57" i="12"/>
  <c r="L57" i="12"/>
  <c r="K57" i="12"/>
  <c r="J57" i="12"/>
  <c r="I57" i="12"/>
  <c r="H57" i="12"/>
  <c r="G57" i="12"/>
  <c r="F57" i="12"/>
  <c r="AD52" i="12"/>
  <c r="AD57" i="12" s="1"/>
  <c r="AB52" i="12"/>
  <c r="AB57" i="12" s="1"/>
  <c r="AG49" i="12"/>
  <c r="AF49" i="12"/>
  <c r="AE49" i="12"/>
  <c r="AD49" i="12"/>
  <c r="AC49" i="12"/>
  <c r="AB49" i="12"/>
  <c r="Z49" i="12"/>
  <c r="Y49" i="12"/>
  <c r="X49" i="12"/>
  <c r="W49" i="12"/>
  <c r="V49" i="12"/>
  <c r="U49" i="12"/>
  <c r="T49" i="12"/>
  <c r="S49" i="12"/>
  <c r="R49" i="12"/>
  <c r="Q49" i="12"/>
  <c r="P49" i="12"/>
  <c r="O49" i="12"/>
  <c r="N49" i="12"/>
  <c r="M49" i="12"/>
  <c r="L49" i="12"/>
  <c r="K49" i="12"/>
  <c r="J49" i="12"/>
  <c r="I49" i="12"/>
  <c r="H49" i="12"/>
  <c r="G49" i="12"/>
  <c r="F49" i="12"/>
  <c r="AG33" i="12"/>
  <c r="AF33" i="12"/>
  <c r="AE33" i="12"/>
  <c r="AD33" i="12"/>
  <c r="AC33" i="12"/>
  <c r="AB33" i="12"/>
  <c r="Z33" i="12"/>
  <c r="Y33" i="12"/>
  <c r="X33" i="12"/>
  <c r="W33" i="12"/>
  <c r="V33" i="12"/>
  <c r="U33" i="12"/>
  <c r="T33" i="12"/>
  <c r="S33" i="12"/>
  <c r="R33" i="12"/>
  <c r="Q33" i="12"/>
  <c r="P33" i="12"/>
  <c r="O33" i="12"/>
  <c r="N33" i="12"/>
  <c r="M33" i="12"/>
  <c r="L33" i="12"/>
  <c r="K33" i="12"/>
  <c r="J33" i="12"/>
  <c r="I33" i="12"/>
  <c r="H33" i="12"/>
  <c r="G33" i="12"/>
  <c r="F33" i="12"/>
  <c r="AG18" i="12"/>
  <c r="AF18" i="12"/>
  <c r="AE18" i="12"/>
  <c r="AD18" i="12"/>
  <c r="AC18" i="12"/>
  <c r="AB18" i="12"/>
  <c r="Z18" i="12"/>
  <c r="Y18" i="12"/>
  <c r="X18" i="12"/>
  <c r="W18" i="12"/>
  <c r="V18" i="12"/>
  <c r="U18" i="12"/>
  <c r="T18" i="12"/>
  <c r="S18" i="12"/>
  <c r="R18" i="12"/>
  <c r="Q18" i="12"/>
  <c r="P18" i="12"/>
  <c r="O18" i="12"/>
  <c r="N18" i="12"/>
  <c r="M18" i="12"/>
  <c r="L18" i="12"/>
  <c r="K18" i="12"/>
  <c r="J18" i="12"/>
  <c r="I18" i="12"/>
  <c r="H18" i="12"/>
  <c r="G18" i="12"/>
  <c r="F18" i="12"/>
  <c r="AG12" i="12"/>
  <c r="AF12" i="12"/>
  <c r="AE12" i="12"/>
  <c r="AD12" i="12"/>
  <c r="AC12" i="12"/>
  <c r="AB12" i="12"/>
  <c r="Z12" i="12"/>
  <c r="Y12" i="12"/>
  <c r="X12" i="12"/>
  <c r="W12" i="12"/>
  <c r="V12" i="12"/>
  <c r="U12" i="12"/>
  <c r="T12" i="12"/>
  <c r="S12" i="12"/>
  <c r="R12" i="12"/>
  <c r="Q12" i="12"/>
  <c r="P12" i="12"/>
  <c r="O12" i="12"/>
  <c r="N12" i="12"/>
  <c r="M12" i="12"/>
  <c r="L12" i="12"/>
  <c r="K12" i="12"/>
  <c r="J12" i="12"/>
  <c r="I12" i="12"/>
  <c r="H12" i="12"/>
  <c r="G12" i="12"/>
  <c r="F12" i="12"/>
  <c r="Z94" i="7"/>
  <c r="Y94" i="7"/>
  <c r="X94" i="7"/>
  <c r="W94" i="7"/>
  <c r="V94" i="7"/>
  <c r="U94" i="7"/>
  <c r="Q94" i="7"/>
  <c r="P94" i="7"/>
  <c r="O94" i="7"/>
  <c r="M94" i="7"/>
  <c r="L94" i="7"/>
  <c r="H94" i="7"/>
  <c r="G94" i="7"/>
  <c r="F94" i="7"/>
  <c r="F94" i="8"/>
  <c r="Z94" i="8"/>
  <c r="Y94" i="8"/>
  <c r="X94" i="8"/>
  <c r="W94" i="8"/>
  <c r="V94" i="8"/>
  <c r="U94" i="8"/>
  <c r="Q94" i="8"/>
  <c r="P94" i="8"/>
  <c r="O94" i="8"/>
  <c r="M94" i="8"/>
  <c r="L94" i="8"/>
  <c r="H94" i="8"/>
  <c r="G94" i="8"/>
  <c r="AA32" i="19" l="1"/>
  <c r="F88" i="14"/>
  <c r="N88" i="14"/>
  <c r="V88" i="14"/>
  <c r="AE100" i="14"/>
  <c r="F88" i="17"/>
  <c r="N88" i="17"/>
  <c r="N90" i="17" s="1"/>
  <c r="N92" i="17" s="1"/>
  <c r="V88" i="17"/>
  <c r="V90" i="17" s="1"/>
  <c r="V92" i="17" s="1"/>
  <c r="AE100" i="17"/>
  <c r="AA85" i="19"/>
  <c r="AA17" i="19"/>
  <c r="AA48" i="19"/>
  <c r="AA56" i="19"/>
  <c r="AA11" i="19"/>
  <c r="D109" i="19" s="1"/>
  <c r="R88" i="13"/>
  <c r="R90" i="13" s="1"/>
  <c r="R92" i="13" s="1"/>
  <c r="Z88" i="13"/>
  <c r="E112" i="13"/>
  <c r="F112" i="13" s="1"/>
  <c r="E107" i="13"/>
  <c r="F107" i="13" s="1"/>
  <c r="M88" i="17"/>
  <c r="U88" i="17"/>
  <c r="J88" i="14"/>
  <c r="J90" i="14" s="1"/>
  <c r="J92" i="14" s="1"/>
  <c r="R88" i="14"/>
  <c r="R90" i="14" s="1"/>
  <c r="R92" i="14" s="1"/>
  <c r="Z88" i="14"/>
  <c r="I88" i="15"/>
  <c r="Q88" i="15"/>
  <c r="Y88" i="15"/>
  <c r="O88" i="18"/>
  <c r="W88" i="18"/>
  <c r="AF100" i="18"/>
  <c r="E110" i="13"/>
  <c r="F110" i="13" s="1"/>
  <c r="K88" i="16"/>
  <c r="K90" i="16" s="1"/>
  <c r="K92" i="16" s="1"/>
  <c r="S88" i="16"/>
  <c r="N88" i="16"/>
  <c r="W88" i="17"/>
  <c r="I88" i="18"/>
  <c r="Q88" i="18"/>
  <c r="Y88" i="18"/>
  <c r="Y90" i="18" s="1"/>
  <c r="Y92" i="18" s="1"/>
  <c r="AE88" i="18"/>
  <c r="AE99" i="18" s="1"/>
  <c r="S95" i="18"/>
  <c r="S96" i="18" s="1"/>
  <c r="J88" i="13"/>
  <c r="AG100" i="15"/>
  <c r="AF88" i="15"/>
  <c r="AF99" i="15" s="1"/>
  <c r="AF88" i="14"/>
  <c r="AF99" i="14" s="1"/>
  <c r="AA18" i="14"/>
  <c r="G88" i="14"/>
  <c r="G90" i="14" s="1"/>
  <c r="G92" i="14" s="1"/>
  <c r="O88" i="14"/>
  <c r="O90" i="14" s="1"/>
  <c r="O92" i="14" s="1"/>
  <c r="S88" i="13"/>
  <c r="S90" i="13" s="1"/>
  <c r="S92" i="13" s="1"/>
  <c r="G88" i="18"/>
  <c r="G90" i="18" s="1"/>
  <c r="G92" i="18" s="1"/>
  <c r="E111" i="13"/>
  <c r="F111" i="13" s="1"/>
  <c r="AB100" i="13"/>
  <c r="W88" i="14"/>
  <c r="W90" i="14" s="1"/>
  <c r="W92" i="14" s="1"/>
  <c r="AA12" i="13"/>
  <c r="J88" i="15"/>
  <c r="J90" i="15" s="1"/>
  <c r="J92" i="15" s="1"/>
  <c r="AC88" i="16"/>
  <c r="AC99" i="16" s="1"/>
  <c r="AA57" i="16"/>
  <c r="H88" i="18"/>
  <c r="H90" i="18" s="1"/>
  <c r="H92" i="18" s="1"/>
  <c r="L88" i="13"/>
  <c r="AG100" i="14"/>
  <c r="K88" i="15"/>
  <c r="U88" i="16"/>
  <c r="E109" i="18"/>
  <c r="F109" i="18" s="1"/>
  <c r="E107" i="12"/>
  <c r="F107" i="12" s="1"/>
  <c r="M88" i="13"/>
  <c r="U88" i="13"/>
  <c r="U90" i="13" s="1"/>
  <c r="U92" i="13" s="1"/>
  <c r="AD88" i="13"/>
  <c r="AD99" i="13" s="1"/>
  <c r="O88" i="13"/>
  <c r="O90" i="13" s="1"/>
  <c r="O92" i="13" s="1"/>
  <c r="W88" i="13"/>
  <c r="I88" i="14"/>
  <c r="Q88" i="14"/>
  <c r="Q90" i="14" s="1"/>
  <c r="Q92" i="14" s="1"/>
  <c r="Y88" i="14"/>
  <c r="Y99" i="14" s="1"/>
  <c r="AA86" i="14"/>
  <c r="Q96" i="14"/>
  <c r="Y96" i="14"/>
  <c r="L88" i="15"/>
  <c r="T88" i="15"/>
  <c r="T90" i="15" s="1"/>
  <c r="T92" i="15" s="1"/>
  <c r="E107" i="15"/>
  <c r="F107" i="15" s="1"/>
  <c r="Q95" i="15"/>
  <c r="Q99" i="15" s="1"/>
  <c r="AA12" i="16"/>
  <c r="AE100" i="16"/>
  <c r="E108" i="16"/>
  <c r="F108" i="16" s="1"/>
  <c r="H88" i="17"/>
  <c r="H90" i="17" s="1"/>
  <c r="H92" i="17" s="1"/>
  <c r="P88" i="17"/>
  <c r="P90" i="17" s="1"/>
  <c r="P92" i="17" s="1"/>
  <c r="X88" i="17"/>
  <c r="X90" i="17" s="1"/>
  <c r="X92" i="17" s="1"/>
  <c r="AG100" i="17"/>
  <c r="I96" i="17"/>
  <c r="Q96" i="17"/>
  <c r="Q97" i="17" s="1"/>
  <c r="Y96" i="17"/>
  <c r="Y100" i="17" s="1"/>
  <c r="J88" i="18"/>
  <c r="R88" i="18"/>
  <c r="Z88" i="18"/>
  <c r="E111" i="18"/>
  <c r="F111" i="18" s="1"/>
  <c r="E112" i="18"/>
  <c r="F112" i="18" s="1"/>
  <c r="K96" i="18"/>
  <c r="K97" i="18" s="1"/>
  <c r="AF100" i="14"/>
  <c r="AF101" i="14" s="1"/>
  <c r="W95" i="14"/>
  <c r="W96" i="14" s="1"/>
  <c r="AA18" i="15"/>
  <c r="P88" i="18"/>
  <c r="P90" i="18" s="1"/>
  <c r="P92" i="18" s="1"/>
  <c r="E111" i="12"/>
  <c r="F111" i="12" s="1"/>
  <c r="E112" i="12"/>
  <c r="F112" i="12" s="1"/>
  <c r="AC88" i="13"/>
  <c r="AC99" i="13" s="1"/>
  <c r="P88" i="14"/>
  <c r="P90" i="14" s="1"/>
  <c r="P92" i="14" s="1"/>
  <c r="AA49" i="14"/>
  <c r="S88" i="15"/>
  <c r="S90" i="15" s="1"/>
  <c r="S92" i="15" s="1"/>
  <c r="M88" i="16"/>
  <c r="AF100" i="17"/>
  <c r="AA49" i="17"/>
  <c r="AA49" i="18"/>
  <c r="E110" i="12"/>
  <c r="F110" i="12" s="1"/>
  <c r="F88" i="13"/>
  <c r="F90" i="13" s="1"/>
  <c r="F92" i="13" s="1"/>
  <c r="N88" i="13"/>
  <c r="N90" i="13" s="1"/>
  <c r="N92" i="13" s="1"/>
  <c r="V88" i="13"/>
  <c r="V90" i="13" s="1"/>
  <c r="V92" i="13" s="1"/>
  <c r="AE100" i="13"/>
  <c r="E108" i="13"/>
  <c r="F108" i="13" s="1"/>
  <c r="I95" i="13"/>
  <c r="I96" i="13" s="1"/>
  <c r="E109" i="14"/>
  <c r="F109" i="14" s="1"/>
  <c r="M88" i="15"/>
  <c r="U88" i="15"/>
  <c r="U90" i="15" s="1"/>
  <c r="U92" i="15" s="1"/>
  <c r="AC88" i="15"/>
  <c r="AC99" i="15" s="1"/>
  <c r="AA33" i="15"/>
  <c r="AA57" i="15"/>
  <c r="G88" i="16"/>
  <c r="G90" i="16" s="1"/>
  <c r="G92" i="16" s="1"/>
  <c r="O88" i="16"/>
  <c r="W88" i="16"/>
  <c r="AF100" i="16"/>
  <c r="AA49" i="16"/>
  <c r="H96" i="16"/>
  <c r="H97" i="16" s="1"/>
  <c r="P96" i="16"/>
  <c r="P97" i="16" s="1"/>
  <c r="X96" i="16"/>
  <c r="X97" i="16" s="1"/>
  <c r="I88" i="17"/>
  <c r="I99" i="17" s="1"/>
  <c r="Q88" i="17"/>
  <c r="Q90" i="17" s="1"/>
  <c r="Q92" i="17" s="1"/>
  <c r="Y88" i="17"/>
  <c r="Y90" i="17" s="1"/>
  <c r="Y92" i="17" s="1"/>
  <c r="AA18" i="17"/>
  <c r="E109" i="17"/>
  <c r="F109" i="17" s="1"/>
  <c r="AF88" i="17"/>
  <c r="AF99" i="17" s="1"/>
  <c r="AF101" i="17" s="1"/>
  <c r="K88" i="18"/>
  <c r="K99" i="18" s="1"/>
  <c r="S88" i="18"/>
  <c r="E107" i="18"/>
  <c r="F107" i="18" s="1"/>
  <c r="E109" i="12"/>
  <c r="F109" i="12" s="1"/>
  <c r="Z88" i="15"/>
  <c r="T88" i="16"/>
  <c r="AA12" i="15"/>
  <c r="AD88" i="16"/>
  <c r="AD99" i="16" s="1"/>
  <c r="AF100" i="13"/>
  <c r="AA49" i="13"/>
  <c r="K88" i="14"/>
  <c r="K90" i="14" s="1"/>
  <c r="K92" i="14" s="1"/>
  <c r="S88" i="14"/>
  <c r="S90" i="14" s="1"/>
  <c r="S92" i="14" s="1"/>
  <c r="F88" i="15"/>
  <c r="N88" i="15"/>
  <c r="AD88" i="15"/>
  <c r="AD99" i="15" s="1"/>
  <c r="O88" i="15"/>
  <c r="O90" i="15" s="1"/>
  <c r="O92" i="15" s="1"/>
  <c r="W88" i="15"/>
  <c r="W90" i="15" s="1"/>
  <c r="W92" i="15" s="1"/>
  <c r="H88" i="16"/>
  <c r="H99" i="16" s="1"/>
  <c r="P88" i="16"/>
  <c r="P90" i="16" s="1"/>
  <c r="P92" i="16" s="1"/>
  <c r="X88" i="16"/>
  <c r="AG100" i="16"/>
  <c r="AE88" i="16"/>
  <c r="AE99" i="16" s="1"/>
  <c r="J88" i="17"/>
  <c r="J90" i="17" s="1"/>
  <c r="J92" i="17" s="1"/>
  <c r="R88" i="17"/>
  <c r="R90" i="17" s="1"/>
  <c r="R92" i="17" s="1"/>
  <c r="Z88" i="17"/>
  <c r="Z90" i="17" s="1"/>
  <c r="Z92" i="17" s="1"/>
  <c r="E111" i="17"/>
  <c r="F111" i="17" s="1"/>
  <c r="L88" i="18"/>
  <c r="L90" i="18" s="1"/>
  <c r="L92" i="18" s="1"/>
  <c r="T88" i="18"/>
  <c r="AC88" i="18"/>
  <c r="AC99" i="18" s="1"/>
  <c r="AA33" i="18"/>
  <c r="N88" i="18"/>
  <c r="N90" i="18" s="1"/>
  <c r="N92" i="18" s="1"/>
  <c r="E110" i="18"/>
  <c r="F110" i="18" s="1"/>
  <c r="AD88" i="17"/>
  <c r="AD99" i="17" s="1"/>
  <c r="AA86" i="13"/>
  <c r="G96" i="14"/>
  <c r="R88" i="15"/>
  <c r="L88" i="16"/>
  <c r="E110" i="16"/>
  <c r="F110" i="16" s="1"/>
  <c r="E108" i="17"/>
  <c r="F108" i="17" s="1"/>
  <c r="AG100" i="18"/>
  <c r="T88" i="13"/>
  <c r="X88" i="14"/>
  <c r="AA86" i="15"/>
  <c r="N88" i="12"/>
  <c r="V88" i="12"/>
  <c r="AE88" i="12"/>
  <c r="AE99" i="12" s="1"/>
  <c r="E108" i="12"/>
  <c r="F108" i="12" s="1"/>
  <c r="H88" i="13"/>
  <c r="H90" i="13" s="1"/>
  <c r="H92" i="13" s="1"/>
  <c r="P88" i="13"/>
  <c r="P90" i="13" s="1"/>
  <c r="P92" i="13" s="1"/>
  <c r="X88" i="13"/>
  <c r="X90" i="13" s="1"/>
  <c r="X92" i="13" s="1"/>
  <c r="AG100" i="13"/>
  <c r="L88" i="14"/>
  <c r="L90" i="14" s="1"/>
  <c r="L92" i="14" s="1"/>
  <c r="T88" i="14"/>
  <c r="T90" i="14" s="1"/>
  <c r="T92" i="14" s="1"/>
  <c r="AC88" i="14"/>
  <c r="AC99" i="14" s="1"/>
  <c r="M88" i="14"/>
  <c r="U88" i="14"/>
  <c r="U90" i="14" s="1"/>
  <c r="U92" i="14" s="1"/>
  <c r="AD88" i="14"/>
  <c r="AD99" i="14" s="1"/>
  <c r="I95" i="14"/>
  <c r="I96" i="14" s="1"/>
  <c r="AE100" i="15"/>
  <c r="I88" i="16"/>
  <c r="Q88" i="16"/>
  <c r="Q90" i="16" s="1"/>
  <c r="Q92" i="16" s="1"/>
  <c r="Y88" i="16"/>
  <c r="Y90" i="16" s="1"/>
  <c r="Y92" i="16" s="1"/>
  <c r="AA18" i="16"/>
  <c r="K88" i="17"/>
  <c r="K90" i="17" s="1"/>
  <c r="K92" i="17" s="1"/>
  <c r="S88" i="17"/>
  <c r="S90" i="17" s="1"/>
  <c r="S92" i="17" s="1"/>
  <c r="E107" i="17"/>
  <c r="F107" i="17" s="1"/>
  <c r="AA86" i="17"/>
  <c r="E112" i="17"/>
  <c r="F112" i="17" s="1"/>
  <c r="M88" i="18"/>
  <c r="U88" i="18"/>
  <c r="U90" i="18" s="1"/>
  <c r="U92" i="18" s="1"/>
  <c r="AA86" i="18"/>
  <c r="Y96" i="15"/>
  <c r="Y97" i="15" s="1"/>
  <c r="X88" i="18"/>
  <c r="X99" i="18" s="1"/>
  <c r="AA33" i="13"/>
  <c r="AA57" i="13"/>
  <c r="H88" i="14"/>
  <c r="H90" i="14" s="1"/>
  <c r="H92" i="14" s="1"/>
  <c r="I95" i="15"/>
  <c r="I96" i="15" s="1"/>
  <c r="AA18" i="18"/>
  <c r="I88" i="13"/>
  <c r="I90" i="13" s="1"/>
  <c r="I92" i="13" s="1"/>
  <c r="Q88" i="13"/>
  <c r="Q99" i="13" s="1"/>
  <c r="Y88" i="13"/>
  <c r="AA18" i="13"/>
  <c r="E109" i="13"/>
  <c r="F109" i="13" s="1"/>
  <c r="AF88" i="13"/>
  <c r="AF99" i="13" s="1"/>
  <c r="T95" i="13"/>
  <c r="T96" i="13" s="1"/>
  <c r="AD100" i="14"/>
  <c r="AA33" i="14"/>
  <c r="AA57" i="14"/>
  <c r="O95" i="14"/>
  <c r="O96" i="14" s="1"/>
  <c r="H88" i="15"/>
  <c r="P88" i="15"/>
  <c r="P90" i="15" s="1"/>
  <c r="P92" i="15" s="1"/>
  <c r="X88" i="15"/>
  <c r="X90" i="15" s="1"/>
  <c r="X92" i="15" s="1"/>
  <c r="AF100" i="15"/>
  <c r="AA49" i="15"/>
  <c r="J88" i="16"/>
  <c r="J90" i="16" s="1"/>
  <c r="J92" i="16" s="1"/>
  <c r="R88" i="16"/>
  <c r="R90" i="16" s="1"/>
  <c r="R92" i="16" s="1"/>
  <c r="Z88" i="16"/>
  <c r="E111" i="16"/>
  <c r="F111" i="16" s="1"/>
  <c r="E112" i="16"/>
  <c r="F112" i="16" s="1"/>
  <c r="L88" i="17"/>
  <c r="L90" i="17" s="1"/>
  <c r="L92" i="17" s="1"/>
  <c r="T88" i="17"/>
  <c r="T90" i="17" s="1"/>
  <c r="T92" i="17" s="1"/>
  <c r="AC88" i="17"/>
  <c r="AC99" i="17" s="1"/>
  <c r="E110" i="17"/>
  <c r="F110" i="17" s="1"/>
  <c r="AA57" i="17"/>
  <c r="AA12" i="18"/>
  <c r="AE100" i="18"/>
  <c r="E108" i="18"/>
  <c r="F108" i="18" s="1"/>
  <c r="AA57" i="18"/>
  <c r="AA33" i="16"/>
  <c r="V88" i="16"/>
  <c r="V90" i="16" s="1"/>
  <c r="V92" i="16" s="1"/>
  <c r="O88" i="17"/>
  <c r="O90" i="17" s="1"/>
  <c r="O92" i="17" s="1"/>
  <c r="AA33" i="17"/>
  <c r="V88" i="18"/>
  <c r="V90" i="18" s="1"/>
  <c r="V92" i="18" s="1"/>
  <c r="V88" i="15"/>
  <c r="V90" i="15" s="1"/>
  <c r="V92" i="15" s="1"/>
  <c r="J90" i="18"/>
  <c r="J92" i="18" s="1"/>
  <c r="R90" i="18"/>
  <c r="R92" i="18" s="1"/>
  <c r="Z90" i="18"/>
  <c r="Z92" i="18" s="1"/>
  <c r="H97" i="18"/>
  <c r="AD100" i="18"/>
  <c r="T90" i="18"/>
  <c r="T92" i="18" s="1"/>
  <c r="M90" i="18"/>
  <c r="M92" i="18" s="1"/>
  <c r="AD88" i="18"/>
  <c r="AD99" i="18" s="1"/>
  <c r="X97" i="18"/>
  <c r="O90" i="18"/>
  <c r="O92" i="18" s="1"/>
  <c r="W90" i="18"/>
  <c r="W92" i="18" s="1"/>
  <c r="I90" i="18"/>
  <c r="I92" i="18" s="1"/>
  <c r="Q90" i="18"/>
  <c r="Q92" i="18" s="1"/>
  <c r="F88" i="18"/>
  <c r="P97" i="18"/>
  <c r="AF88" i="18"/>
  <c r="AF99" i="18" s="1"/>
  <c r="I95" i="18"/>
  <c r="I99" i="18" s="1"/>
  <c r="Q95" i="18"/>
  <c r="Q99" i="18" s="1"/>
  <c r="Y95" i="18"/>
  <c r="Y96" i="18" s="1"/>
  <c r="AB100" i="18"/>
  <c r="AG88" i="18"/>
  <c r="AG99" i="18" s="1"/>
  <c r="J95" i="18"/>
  <c r="J99" i="18" s="1"/>
  <c r="R95" i="18"/>
  <c r="R99" i="18" s="1"/>
  <c r="Z95" i="18"/>
  <c r="Z96" i="18" s="1"/>
  <c r="Z100" i="18" s="1"/>
  <c r="AC100" i="18"/>
  <c r="L95" i="18"/>
  <c r="T95" i="18"/>
  <c r="AB88" i="18"/>
  <c r="AB99" i="18" s="1"/>
  <c r="M95" i="18"/>
  <c r="M99" i="18" s="1"/>
  <c r="U95" i="18"/>
  <c r="F95" i="18"/>
  <c r="N95" i="18"/>
  <c r="V95" i="18"/>
  <c r="V96" i="18" s="1"/>
  <c r="G95" i="18"/>
  <c r="O95" i="18"/>
  <c r="O99" i="18" s="1"/>
  <c r="W95" i="18"/>
  <c r="M90" i="17"/>
  <c r="M92" i="17" s="1"/>
  <c r="U90" i="17"/>
  <c r="U92" i="17" s="1"/>
  <c r="W90" i="17"/>
  <c r="W92" i="17" s="1"/>
  <c r="F90" i="17"/>
  <c r="F92" i="17" s="1"/>
  <c r="AB100" i="17"/>
  <c r="AA12" i="17"/>
  <c r="AE88" i="17"/>
  <c r="AE99" i="17" s="1"/>
  <c r="H95" i="17"/>
  <c r="H96" i="17" s="1"/>
  <c r="P95" i="17"/>
  <c r="P96" i="17" s="1"/>
  <c r="X95" i="17"/>
  <c r="X96" i="17" s="1"/>
  <c r="AG88" i="17"/>
  <c r="AG99" i="17" s="1"/>
  <c r="J95" i="17"/>
  <c r="R95" i="17"/>
  <c r="Z95" i="17"/>
  <c r="AC100" i="17"/>
  <c r="K95" i="17"/>
  <c r="S95" i="17"/>
  <c r="AD100" i="17"/>
  <c r="L95" i="17"/>
  <c r="L96" i="17" s="1"/>
  <c r="T95" i="17"/>
  <c r="T96" i="17" s="1"/>
  <c r="AB88" i="17"/>
  <c r="AB99" i="17" s="1"/>
  <c r="M95" i="17"/>
  <c r="M96" i="17" s="1"/>
  <c r="M100" i="17" s="1"/>
  <c r="U95" i="17"/>
  <c r="F95" i="17"/>
  <c r="N95" i="17"/>
  <c r="V95" i="17"/>
  <c r="G88" i="17"/>
  <c r="G95" i="17"/>
  <c r="G96" i="17" s="1"/>
  <c r="O95" i="17"/>
  <c r="W95" i="17"/>
  <c r="L90" i="16"/>
  <c r="L92" i="16" s="1"/>
  <c r="T90" i="16"/>
  <c r="T92" i="16" s="1"/>
  <c r="N90" i="16"/>
  <c r="N92" i="16" s="1"/>
  <c r="M90" i="16"/>
  <c r="M92" i="16" s="1"/>
  <c r="U90" i="16"/>
  <c r="U92" i="16" s="1"/>
  <c r="O90" i="16"/>
  <c r="O92" i="16" s="1"/>
  <c r="W90" i="16"/>
  <c r="W92" i="16" s="1"/>
  <c r="X100" i="16"/>
  <c r="X90" i="16"/>
  <c r="X99" i="16"/>
  <c r="I90" i="16"/>
  <c r="I92" i="16" s="1"/>
  <c r="E109" i="16"/>
  <c r="F109" i="16" s="1"/>
  <c r="Z90" i="16"/>
  <c r="Z92" i="16" s="1"/>
  <c r="X92" i="16"/>
  <c r="S90" i="16"/>
  <c r="S92" i="16" s="1"/>
  <c r="E107" i="16"/>
  <c r="F107" i="16" s="1"/>
  <c r="AA86" i="16"/>
  <c r="AF88" i="16"/>
  <c r="AF99" i="16" s="1"/>
  <c r="I95" i="16"/>
  <c r="I96" i="16" s="1"/>
  <c r="Q95" i="16"/>
  <c r="Y95" i="16"/>
  <c r="AB100" i="16"/>
  <c r="F88" i="16"/>
  <c r="AG88" i="16"/>
  <c r="AG99" i="16" s="1"/>
  <c r="J95" i="16"/>
  <c r="R95" i="16"/>
  <c r="Z95" i="16"/>
  <c r="Z96" i="16" s="1"/>
  <c r="AC100" i="16"/>
  <c r="K95" i="16"/>
  <c r="K96" i="16" s="1"/>
  <c r="S95" i="16"/>
  <c r="AD100" i="16"/>
  <c r="L95" i="16"/>
  <c r="T95" i="16"/>
  <c r="AB88" i="16"/>
  <c r="AB99" i="16" s="1"/>
  <c r="M95" i="16"/>
  <c r="U95" i="16"/>
  <c r="U99" i="16" s="1"/>
  <c r="F95" i="16"/>
  <c r="F96" i="16" s="1"/>
  <c r="N95" i="16"/>
  <c r="N96" i="16" s="1"/>
  <c r="N100" i="16" s="1"/>
  <c r="V95" i="16"/>
  <c r="G95" i="16"/>
  <c r="O95" i="16"/>
  <c r="W95" i="16"/>
  <c r="W96" i="16" s="1"/>
  <c r="W100" i="16" s="1"/>
  <c r="L90" i="15"/>
  <c r="L92" i="15" s="1"/>
  <c r="N90" i="15"/>
  <c r="N92" i="15" s="1"/>
  <c r="E112" i="15"/>
  <c r="F112" i="15" s="1"/>
  <c r="E110" i="15"/>
  <c r="F110" i="15" s="1"/>
  <c r="E108" i="15"/>
  <c r="F108" i="15" s="1"/>
  <c r="F90" i="15"/>
  <c r="F92" i="15" s="1"/>
  <c r="I90" i="15"/>
  <c r="I92" i="15" s="1"/>
  <c r="I99" i="15"/>
  <c r="Q90" i="15"/>
  <c r="Q92" i="15" s="1"/>
  <c r="Y90" i="15"/>
  <c r="Y92" i="15" s="1"/>
  <c r="Y99" i="15"/>
  <c r="M90" i="15"/>
  <c r="M92" i="15" s="1"/>
  <c r="R90" i="15"/>
  <c r="R92" i="15" s="1"/>
  <c r="Z90" i="15"/>
  <c r="Z92" i="15" s="1"/>
  <c r="E109" i="15"/>
  <c r="F109" i="15" s="1"/>
  <c r="K90" i="15"/>
  <c r="K92" i="15" s="1"/>
  <c r="AB100" i="15"/>
  <c r="E111" i="15"/>
  <c r="F111" i="15" s="1"/>
  <c r="AE88" i="15"/>
  <c r="AE99" i="15" s="1"/>
  <c r="AE101" i="15" s="1"/>
  <c r="H95" i="15"/>
  <c r="H96" i="15" s="1"/>
  <c r="P95" i="15"/>
  <c r="P96" i="15" s="1"/>
  <c r="X95" i="15"/>
  <c r="X96" i="15" s="1"/>
  <c r="AG88" i="15"/>
  <c r="AG99" i="15" s="1"/>
  <c r="AG101" i="15" s="1"/>
  <c r="J95" i="15"/>
  <c r="R95" i="15"/>
  <c r="R96" i="15" s="1"/>
  <c r="R100" i="15" s="1"/>
  <c r="Z95" i="15"/>
  <c r="AC100" i="15"/>
  <c r="K95" i="15"/>
  <c r="K99" i="15" s="1"/>
  <c r="S95" i="15"/>
  <c r="AD100" i="15"/>
  <c r="L95" i="15"/>
  <c r="L96" i="15" s="1"/>
  <c r="L100" i="15" s="1"/>
  <c r="T95" i="15"/>
  <c r="T96" i="15" s="1"/>
  <c r="G88" i="15"/>
  <c r="AB88" i="15"/>
  <c r="AB99" i="15" s="1"/>
  <c r="M95" i="15"/>
  <c r="U95" i="15"/>
  <c r="F95" i="15"/>
  <c r="F96" i="15" s="1"/>
  <c r="F100" i="15" s="1"/>
  <c r="N95" i="15"/>
  <c r="V95" i="15"/>
  <c r="G95" i="15"/>
  <c r="O95" i="15"/>
  <c r="W95" i="15"/>
  <c r="I90" i="14"/>
  <c r="I92" i="14" s="1"/>
  <c r="E108" i="14"/>
  <c r="F108" i="14" s="1"/>
  <c r="E112" i="14"/>
  <c r="F112" i="14" s="1"/>
  <c r="E110" i="14"/>
  <c r="F110" i="14" s="1"/>
  <c r="E107" i="14"/>
  <c r="F107" i="14" s="1"/>
  <c r="AB100" i="14"/>
  <c r="E111" i="14"/>
  <c r="F111" i="14" s="1"/>
  <c r="M90" i="14"/>
  <c r="M92" i="14" s="1"/>
  <c r="Z90" i="14"/>
  <c r="Z92" i="14" s="1"/>
  <c r="F90" i="14"/>
  <c r="F92" i="14" s="1"/>
  <c r="N90" i="14"/>
  <c r="N92" i="14" s="1"/>
  <c r="V90" i="14"/>
  <c r="V92" i="14" s="1"/>
  <c r="Q97" i="14"/>
  <c r="X90" i="14"/>
  <c r="X92" i="14" s="1"/>
  <c r="Y97" i="14"/>
  <c r="AE88" i="14"/>
  <c r="AE99" i="14" s="1"/>
  <c r="AE101" i="14" s="1"/>
  <c r="H95" i="14"/>
  <c r="P95" i="14"/>
  <c r="X95" i="14"/>
  <c r="X96" i="14" s="1"/>
  <c r="AG88" i="14"/>
  <c r="AG99" i="14" s="1"/>
  <c r="J95" i="14"/>
  <c r="J96" i="14" s="1"/>
  <c r="R95" i="14"/>
  <c r="R96" i="14" s="1"/>
  <c r="Z95" i="14"/>
  <c r="Z96" i="14" s="1"/>
  <c r="AC100" i="14"/>
  <c r="AA12" i="14"/>
  <c r="K95" i="14"/>
  <c r="S95" i="14"/>
  <c r="L95" i="14"/>
  <c r="L99" i="14" s="1"/>
  <c r="T95" i="14"/>
  <c r="T99" i="14" s="1"/>
  <c r="AB88" i="14"/>
  <c r="AB99" i="14" s="1"/>
  <c r="M95" i="14"/>
  <c r="U95" i="14"/>
  <c r="F95" i="14"/>
  <c r="F99" i="14" s="1"/>
  <c r="N95" i="14"/>
  <c r="N99" i="14" s="1"/>
  <c r="V95" i="14"/>
  <c r="J90" i="13"/>
  <c r="J92" i="13" s="1"/>
  <c r="Z90" i="13"/>
  <c r="Z92" i="13" s="1"/>
  <c r="Y90" i="13"/>
  <c r="Y92" i="13" s="1"/>
  <c r="Y99" i="13"/>
  <c r="Y100" i="13"/>
  <c r="L99" i="13"/>
  <c r="L90" i="13"/>
  <c r="L92" i="13" s="1"/>
  <c r="M90" i="13"/>
  <c r="M92" i="13" s="1"/>
  <c r="W90" i="13"/>
  <c r="W92" i="13" s="1"/>
  <c r="Q97" i="13"/>
  <c r="Y97" i="13"/>
  <c r="L100" i="13"/>
  <c r="AE88" i="13"/>
  <c r="AE99" i="13" s="1"/>
  <c r="H95" i="13"/>
  <c r="P95" i="13"/>
  <c r="P96" i="13" s="1"/>
  <c r="X95" i="13"/>
  <c r="X96" i="13" s="1"/>
  <c r="AG88" i="13"/>
  <c r="AG99" i="13" s="1"/>
  <c r="AG101" i="13" s="1"/>
  <c r="J95" i="13"/>
  <c r="J99" i="13" s="1"/>
  <c r="R95" i="13"/>
  <c r="Z95" i="13"/>
  <c r="Z99" i="13" s="1"/>
  <c r="AC100" i="13"/>
  <c r="K95" i="13"/>
  <c r="S95" i="13"/>
  <c r="AD100" i="13"/>
  <c r="AD101" i="13" s="1"/>
  <c r="G88" i="13"/>
  <c r="K88" i="13"/>
  <c r="AB88" i="13"/>
  <c r="AB99" i="13" s="1"/>
  <c r="M95" i="13"/>
  <c r="U95" i="13"/>
  <c r="F95" i="13"/>
  <c r="N95" i="13"/>
  <c r="V95" i="13"/>
  <c r="V96" i="13" s="1"/>
  <c r="G96" i="13"/>
  <c r="G100" i="13" s="1"/>
  <c r="O95" i="13"/>
  <c r="O96" i="13" s="1"/>
  <c r="O100" i="13" s="1"/>
  <c r="W95" i="13"/>
  <c r="W96" i="13" s="1"/>
  <c r="W100" i="13" s="1"/>
  <c r="AA12" i="12"/>
  <c r="O88" i="12"/>
  <c r="O90" i="12" s="1"/>
  <c r="O92" i="12" s="1"/>
  <c r="W88" i="12"/>
  <c r="AF88" i="12"/>
  <c r="AF99" i="12" s="1"/>
  <c r="M88" i="12"/>
  <c r="M90" i="12" s="1"/>
  <c r="M92" i="12" s="1"/>
  <c r="U88" i="12"/>
  <c r="U99" i="12" s="1"/>
  <c r="K96" i="12"/>
  <c r="H88" i="12"/>
  <c r="H90" i="12" s="1"/>
  <c r="H92" i="12" s="1"/>
  <c r="P88" i="12"/>
  <c r="P90" i="12" s="1"/>
  <c r="P92" i="12" s="1"/>
  <c r="X88" i="12"/>
  <c r="X90" i="12" s="1"/>
  <c r="X92" i="12" s="1"/>
  <c r="AG88" i="12"/>
  <c r="AG99" i="12" s="1"/>
  <c r="AA33" i="12"/>
  <c r="R88" i="12"/>
  <c r="R90" i="12" s="1"/>
  <c r="R92" i="12" s="1"/>
  <c r="Z88" i="12"/>
  <c r="Z90" i="12" s="1"/>
  <c r="Z92" i="12" s="1"/>
  <c r="I88" i="12"/>
  <c r="I90" i="12" s="1"/>
  <c r="I92" i="12" s="1"/>
  <c r="Q88" i="12"/>
  <c r="Y88" i="12"/>
  <c r="AA18" i="12"/>
  <c r="K88" i="12"/>
  <c r="K99" i="12" s="1"/>
  <c r="S88" i="12"/>
  <c r="S90" i="12" s="1"/>
  <c r="S92" i="12" s="1"/>
  <c r="AA57" i="12"/>
  <c r="AF100" i="12"/>
  <c r="S96" i="12"/>
  <c r="S97" i="12" s="1"/>
  <c r="L88" i="12"/>
  <c r="L99" i="12" s="1"/>
  <c r="T88" i="12"/>
  <c r="T99" i="12" s="1"/>
  <c r="AC100" i="12"/>
  <c r="AA49" i="12"/>
  <c r="AB88" i="12"/>
  <c r="AB99" i="12" s="1"/>
  <c r="T96" i="12"/>
  <c r="AE100" i="12"/>
  <c r="M96" i="12"/>
  <c r="M97" i="12" s="1"/>
  <c r="L97" i="12"/>
  <c r="N90" i="12"/>
  <c r="N92" i="12" s="1"/>
  <c r="V90" i="12"/>
  <c r="V92" i="12" s="1"/>
  <c r="W90" i="12"/>
  <c r="W92" i="12" s="1"/>
  <c r="U97" i="12"/>
  <c r="L90" i="12"/>
  <c r="L92" i="12" s="1"/>
  <c r="AD100" i="12"/>
  <c r="AC88" i="12"/>
  <c r="AC99" i="12" s="1"/>
  <c r="F95" i="12"/>
  <c r="F96" i="12" s="1"/>
  <c r="N95" i="12"/>
  <c r="N96" i="12" s="1"/>
  <c r="N100" i="12" s="1"/>
  <c r="V95" i="12"/>
  <c r="V96" i="12" s="1"/>
  <c r="V100" i="12" s="1"/>
  <c r="AG100" i="12"/>
  <c r="J88" i="12"/>
  <c r="AD88" i="12"/>
  <c r="AD99" i="12" s="1"/>
  <c r="G95" i="12"/>
  <c r="G96" i="12" s="1"/>
  <c r="O95" i="12"/>
  <c r="O96" i="12" s="1"/>
  <c r="W95" i="12"/>
  <c r="W96" i="12" s="1"/>
  <c r="F88" i="12"/>
  <c r="H95" i="12"/>
  <c r="H96" i="12" s="1"/>
  <c r="H100" i="12" s="1"/>
  <c r="P95" i="12"/>
  <c r="P96" i="12" s="1"/>
  <c r="X95" i="12"/>
  <c r="X96" i="12" s="1"/>
  <c r="AA86" i="12"/>
  <c r="G88" i="12"/>
  <c r="I95" i="12"/>
  <c r="I96" i="12" s="1"/>
  <c r="Q95" i="12"/>
  <c r="Q96" i="12" s="1"/>
  <c r="Y95" i="12"/>
  <c r="Y96" i="12" s="1"/>
  <c r="AB100" i="12"/>
  <c r="J95" i="12"/>
  <c r="J96" i="12" s="1"/>
  <c r="R95" i="12"/>
  <c r="Z95" i="12"/>
  <c r="AG96" i="8"/>
  <c r="AG97" i="8" s="1"/>
  <c r="AF96" i="8"/>
  <c r="AF97" i="8" s="1"/>
  <c r="AE96" i="8"/>
  <c r="AE97" i="8" s="1"/>
  <c r="AD96" i="8"/>
  <c r="AD97" i="8" s="1"/>
  <c r="AC96" i="8"/>
  <c r="AC97" i="8" s="1"/>
  <c r="AB96" i="8"/>
  <c r="AB97" i="8" s="1"/>
  <c r="Q95" i="8"/>
  <c r="Q96" i="8" s="1"/>
  <c r="P95" i="8"/>
  <c r="P96" i="8" s="1"/>
  <c r="O95" i="8"/>
  <c r="O96" i="8" s="1"/>
  <c r="T94" i="8"/>
  <c r="S94" i="8"/>
  <c r="R94" i="8"/>
  <c r="R95" i="8" s="1"/>
  <c r="R96" i="8" s="1"/>
  <c r="N94" i="8"/>
  <c r="N95" i="8" s="1"/>
  <c r="N96" i="8" s="1"/>
  <c r="K94" i="8"/>
  <c r="J94" i="8"/>
  <c r="I94" i="8"/>
  <c r="Z91" i="8"/>
  <c r="Y91" i="8"/>
  <c r="X91" i="8"/>
  <c r="W91" i="8"/>
  <c r="V91" i="8"/>
  <c r="U91" i="8"/>
  <c r="T91" i="8"/>
  <c r="S91" i="8"/>
  <c r="R91" i="8"/>
  <c r="Q91" i="8"/>
  <c r="P91" i="8"/>
  <c r="O91" i="8"/>
  <c r="N91" i="8"/>
  <c r="M91" i="8"/>
  <c r="L91" i="8"/>
  <c r="K91" i="8"/>
  <c r="J91" i="8"/>
  <c r="I91" i="8"/>
  <c r="H91" i="8"/>
  <c r="G91" i="8"/>
  <c r="AG86" i="8"/>
  <c r="AF86" i="8"/>
  <c r="AE86" i="8"/>
  <c r="AD86" i="8"/>
  <c r="AC86" i="8"/>
  <c r="AB86" i="8"/>
  <c r="Z86" i="8"/>
  <c r="Y86" i="8"/>
  <c r="X86" i="8"/>
  <c r="W86" i="8"/>
  <c r="V86" i="8"/>
  <c r="U86" i="8"/>
  <c r="T86" i="8"/>
  <c r="S86" i="8"/>
  <c r="R86" i="8"/>
  <c r="Q86" i="8"/>
  <c r="P86" i="8"/>
  <c r="O86" i="8"/>
  <c r="N86" i="8"/>
  <c r="M86" i="8"/>
  <c r="L86" i="8"/>
  <c r="K86" i="8"/>
  <c r="J86" i="8"/>
  <c r="I86" i="8"/>
  <c r="H86" i="8"/>
  <c r="G86" i="8"/>
  <c r="F86" i="8"/>
  <c r="AG57" i="8"/>
  <c r="AF57" i="8"/>
  <c r="AE57" i="8"/>
  <c r="AC57" i="8"/>
  <c r="Z57" i="8"/>
  <c r="Y57" i="8"/>
  <c r="X57" i="8"/>
  <c r="W57" i="8"/>
  <c r="V57" i="8"/>
  <c r="U57" i="8"/>
  <c r="T57" i="8"/>
  <c r="S57" i="8"/>
  <c r="R57" i="8"/>
  <c r="Q57" i="8"/>
  <c r="P57" i="8"/>
  <c r="O57" i="8"/>
  <c r="N57" i="8"/>
  <c r="M57" i="8"/>
  <c r="L57" i="8"/>
  <c r="K57" i="8"/>
  <c r="J57" i="8"/>
  <c r="I57" i="8"/>
  <c r="H57" i="8"/>
  <c r="G57" i="8"/>
  <c r="F57" i="8"/>
  <c r="AD52" i="8"/>
  <c r="AD57" i="8" s="1"/>
  <c r="AB52" i="8"/>
  <c r="AB57" i="8" s="1"/>
  <c r="AG49" i="8"/>
  <c r="AF49" i="8"/>
  <c r="AE49" i="8"/>
  <c r="AD49" i="8"/>
  <c r="AC49" i="8"/>
  <c r="AB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AG33" i="8"/>
  <c r="AF33" i="8"/>
  <c r="AE33" i="8"/>
  <c r="AD33" i="8"/>
  <c r="AC33" i="8"/>
  <c r="AB33" i="8"/>
  <c r="Z33" i="8"/>
  <c r="Y33" i="8"/>
  <c r="X33" i="8"/>
  <c r="W33" i="8"/>
  <c r="V33" i="8"/>
  <c r="U33" i="8"/>
  <c r="T33" i="8"/>
  <c r="S33" i="8"/>
  <c r="R33" i="8"/>
  <c r="Q33" i="8"/>
  <c r="P33" i="8"/>
  <c r="O33" i="8"/>
  <c r="N33" i="8"/>
  <c r="M33" i="8"/>
  <c r="L33" i="8"/>
  <c r="K33" i="8"/>
  <c r="J33" i="8"/>
  <c r="I33" i="8"/>
  <c r="H33" i="8"/>
  <c r="G33" i="8"/>
  <c r="F33" i="8"/>
  <c r="AG18" i="8"/>
  <c r="AF18" i="8"/>
  <c r="AE18" i="8"/>
  <c r="AD18" i="8"/>
  <c r="AC18" i="8"/>
  <c r="AB18" i="8"/>
  <c r="Z18" i="8"/>
  <c r="Y18" i="8"/>
  <c r="X18" i="8"/>
  <c r="W18" i="8"/>
  <c r="V18" i="8"/>
  <c r="U18" i="8"/>
  <c r="T18" i="8"/>
  <c r="S18" i="8"/>
  <c r="R18" i="8"/>
  <c r="Q18" i="8"/>
  <c r="P18" i="8"/>
  <c r="O18" i="8"/>
  <c r="N18" i="8"/>
  <c r="M18" i="8"/>
  <c r="L18" i="8"/>
  <c r="K18" i="8"/>
  <c r="J18" i="8"/>
  <c r="I18" i="8"/>
  <c r="H18" i="8"/>
  <c r="G18" i="8"/>
  <c r="F18" i="8"/>
  <c r="AG12" i="8"/>
  <c r="AF12" i="8"/>
  <c r="AE12" i="8"/>
  <c r="AD12" i="8"/>
  <c r="AC12" i="8"/>
  <c r="AB12" i="8"/>
  <c r="Z12" i="8"/>
  <c r="Y12" i="8"/>
  <c r="X12" i="8"/>
  <c r="W12" i="8"/>
  <c r="V12" i="8"/>
  <c r="U12" i="8"/>
  <c r="T12" i="8"/>
  <c r="S12" i="8"/>
  <c r="R12" i="8"/>
  <c r="Q12" i="8"/>
  <c r="P12" i="8"/>
  <c r="O12" i="8"/>
  <c r="N12" i="8"/>
  <c r="M12" i="8"/>
  <c r="L12" i="8"/>
  <c r="K12" i="8"/>
  <c r="J12" i="8"/>
  <c r="I12" i="8"/>
  <c r="H12" i="8"/>
  <c r="G12" i="8"/>
  <c r="F12" i="8"/>
  <c r="AD101" i="17" l="1"/>
  <c r="Y97" i="17"/>
  <c r="S97" i="18"/>
  <c r="S100" i="18"/>
  <c r="M99" i="13"/>
  <c r="Z100" i="14"/>
  <c r="W99" i="15"/>
  <c r="R99" i="13"/>
  <c r="K100" i="16"/>
  <c r="Y99" i="16"/>
  <c r="X90" i="18"/>
  <c r="X92" i="18" s="1"/>
  <c r="Z99" i="17"/>
  <c r="T100" i="13"/>
  <c r="AE101" i="16"/>
  <c r="Q100" i="13"/>
  <c r="Q90" i="13"/>
  <c r="Q92" i="13" s="1"/>
  <c r="W99" i="14"/>
  <c r="O99" i="17"/>
  <c r="X100" i="18"/>
  <c r="AF101" i="13"/>
  <c r="V100" i="13"/>
  <c r="K90" i="18"/>
  <c r="K92" i="18" s="1"/>
  <c r="S99" i="13"/>
  <c r="S99" i="15"/>
  <c r="I100" i="17"/>
  <c r="D113" i="19"/>
  <c r="G113" i="19" s="1"/>
  <c r="AA54" i="19"/>
  <c r="D110" i="19"/>
  <c r="G110" i="19" s="1"/>
  <c r="AA16" i="19"/>
  <c r="D114" i="19"/>
  <c r="G114" i="19" s="1"/>
  <c r="AA84" i="19"/>
  <c r="D111" i="19"/>
  <c r="G111" i="19" s="1"/>
  <c r="AA30" i="19"/>
  <c r="C106" i="19"/>
  <c r="AA9" i="19"/>
  <c r="AI9" i="23" s="1"/>
  <c r="D112" i="19"/>
  <c r="G112" i="19" s="1"/>
  <c r="AA46" i="19"/>
  <c r="V99" i="17"/>
  <c r="G99" i="12"/>
  <c r="K90" i="12"/>
  <c r="K92" i="12" s="1"/>
  <c r="F100" i="16"/>
  <c r="I99" i="13"/>
  <c r="G109" i="19"/>
  <c r="AC101" i="17"/>
  <c r="AE101" i="17"/>
  <c r="Y100" i="15"/>
  <c r="U90" i="12"/>
  <c r="U92" i="12" s="1"/>
  <c r="Y90" i="14"/>
  <c r="Y92" i="14" s="1"/>
  <c r="U99" i="15"/>
  <c r="J99" i="16"/>
  <c r="Q100" i="17"/>
  <c r="X100" i="12"/>
  <c r="H99" i="13"/>
  <c r="G99" i="14"/>
  <c r="AB101" i="15"/>
  <c r="Q99" i="16"/>
  <c r="I97" i="17"/>
  <c r="K100" i="18"/>
  <c r="AE101" i="18"/>
  <c r="O99" i="15"/>
  <c r="T100" i="17"/>
  <c r="J99" i="17"/>
  <c r="R100" i="14"/>
  <c r="AB101" i="16"/>
  <c r="L100" i="17"/>
  <c r="Y99" i="17"/>
  <c r="Y101" i="17" s="1"/>
  <c r="J100" i="14"/>
  <c r="G100" i="14"/>
  <c r="E108" i="8"/>
  <c r="F108" i="8" s="1"/>
  <c r="AD101" i="15"/>
  <c r="L99" i="16"/>
  <c r="AG101" i="16"/>
  <c r="AC101" i="18"/>
  <c r="AF101" i="18"/>
  <c r="G99" i="18"/>
  <c r="Y99" i="12"/>
  <c r="Q99" i="12"/>
  <c r="H96" i="14"/>
  <c r="H100" i="14" s="1"/>
  <c r="H99" i="14"/>
  <c r="V99" i="15"/>
  <c r="V96" i="15"/>
  <c r="V97" i="15" s="1"/>
  <c r="N99" i="15"/>
  <c r="N96" i="15"/>
  <c r="N100" i="15" s="1"/>
  <c r="Z99" i="15"/>
  <c r="Z96" i="15"/>
  <c r="S96" i="16"/>
  <c r="S100" i="16" s="1"/>
  <c r="S99" i="16"/>
  <c r="W99" i="17"/>
  <c r="W96" i="17"/>
  <c r="S96" i="17"/>
  <c r="S100" i="17" s="1"/>
  <c r="S99" i="17"/>
  <c r="R96" i="17"/>
  <c r="R100" i="17" s="1"/>
  <c r="R99" i="17"/>
  <c r="W99" i="18"/>
  <c r="W96" i="18"/>
  <c r="W100" i="18" s="1"/>
  <c r="N96" i="18"/>
  <c r="N100" i="18" s="1"/>
  <c r="F96" i="18"/>
  <c r="F97" i="18" s="1"/>
  <c r="H100" i="15"/>
  <c r="AA88" i="16"/>
  <c r="T99" i="13"/>
  <c r="T101" i="13" s="1"/>
  <c r="I101" i="17"/>
  <c r="O99" i="16"/>
  <c r="I100" i="13"/>
  <c r="I101" i="13" s="1"/>
  <c r="I99" i="14"/>
  <c r="O99" i="14"/>
  <c r="AG101" i="12"/>
  <c r="AE101" i="12"/>
  <c r="H99" i="18"/>
  <c r="H90" i="15"/>
  <c r="H92" i="15" s="1"/>
  <c r="AC101" i="14"/>
  <c r="AG101" i="14"/>
  <c r="AC101" i="12"/>
  <c r="AC101" i="15"/>
  <c r="AF101" i="15"/>
  <c r="AC101" i="16"/>
  <c r="AD101" i="16"/>
  <c r="AF101" i="16"/>
  <c r="S99" i="14"/>
  <c r="Y100" i="14"/>
  <c r="Y101" i="14" s="1"/>
  <c r="AD101" i="14"/>
  <c r="P99" i="14"/>
  <c r="U99" i="13"/>
  <c r="AB101" i="13"/>
  <c r="AC101" i="13"/>
  <c r="AE101" i="13"/>
  <c r="K100" i="12"/>
  <c r="K101" i="12" s="1"/>
  <c r="AF101" i="12"/>
  <c r="U100" i="12"/>
  <c r="P100" i="18"/>
  <c r="P99" i="18"/>
  <c r="H100" i="18"/>
  <c r="AA88" i="18"/>
  <c r="AA88" i="17"/>
  <c r="P100" i="16"/>
  <c r="G99" i="16"/>
  <c r="W100" i="14"/>
  <c r="W97" i="14"/>
  <c r="I100" i="14"/>
  <c r="I97" i="14"/>
  <c r="I100" i="15"/>
  <c r="I97" i="15"/>
  <c r="O97" i="14"/>
  <c r="O100" i="14"/>
  <c r="O101" i="14" s="1"/>
  <c r="I97" i="13"/>
  <c r="V96" i="14"/>
  <c r="V100" i="14" s="1"/>
  <c r="Q100" i="14"/>
  <c r="G96" i="16"/>
  <c r="H90" i="16"/>
  <c r="H92" i="16" s="1"/>
  <c r="I90" i="17"/>
  <c r="I92" i="17" s="1"/>
  <c r="AB101" i="18"/>
  <c r="AG101" i="18"/>
  <c r="E113" i="17"/>
  <c r="J96" i="16"/>
  <c r="J100" i="16" s="1"/>
  <c r="E109" i="8"/>
  <c r="F109" i="8" s="1"/>
  <c r="T90" i="12"/>
  <c r="T92" i="12" s="1"/>
  <c r="N96" i="14"/>
  <c r="N100" i="14" s="1"/>
  <c r="N101" i="14" s="1"/>
  <c r="S96" i="15"/>
  <c r="S100" i="15" s="1"/>
  <c r="R99" i="15"/>
  <c r="E111" i="8"/>
  <c r="F111" i="8" s="1"/>
  <c r="E112" i="8"/>
  <c r="F112" i="8" s="1"/>
  <c r="O100" i="12"/>
  <c r="Y90" i="12"/>
  <c r="Y92" i="12" s="1"/>
  <c r="T100" i="12"/>
  <c r="T101" i="12" s="1"/>
  <c r="U101" i="12"/>
  <c r="X100" i="13"/>
  <c r="T90" i="13"/>
  <c r="T92" i="13" s="1"/>
  <c r="K99" i="14"/>
  <c r="X100" i="14"/>
  <c r="J97" i="14"/>
  <c r="T100" i="15"/>
  <c r="K96" i="15"/>
  <c r="X99" i="15"/>
  <c r="H100" i="16"/>
  <c r="H101" i="16" s="1"/>
  <c r="V96" i="17"/>
  <c r="V100" i="17" s="1"/>
  <c r="V101" i="17" s="1"/>
  <c r="X99" i="17"/>
  <c r="V100" i="18"/>
  <c r="L99" i="18"/>
  <c r="AD101" i="18"/>
  <c r="T97" i="13"/>
  <c r="Y100" i="12"/>
  <c r="E113" i="18"/>
  <c r="W100" i="12"/>
  <c r="E107" i="8"/>
  <c r="F107" i="8" s="1"/>
  <c r="O97" i="13"/>
  <c r="S96" i="14"/>
  <c r="S100" i="14" s="1"/>
  <c r="P96" i="14"/>
  <c r="P100" i="14" s="1"/>
  <c r="P101" i="14" s="1"/>
  <c r="J96" i="15"/>
  <c r="J99" i="15"/>
  <c r="F96" i="17"/>
  <c r="F100" i="17" s="1"/>
  <c r="J96" i="17"/>
  <c r="J101" i="16"/>
  <c r="W101" i="14"/>
  <c r="E110" i="8"/>
  <c r="F110" i="8" s="1"/>
  <c r="AD101" i="12"/>
  <c r="Q90" i="12"/>
  <c r="Q92" i="12" s="1"/>
  <c r="L100" i="12"/>
  <c r="L101" i="12" s="1"/>
  <c r="AB101" i="14"/>
  <c r="K96" i="14"/>
  <c r="K100" i="14" s="1"/>
  <c r="J99" i="14"/>
  <c r="J101" i="14" s="1"/>
  <c r="Q99" i="14"/>
  <c r="Q101" i="14" s="1"/>
  <c r="N101" i="15"/>
  <c r="T96" i="16"/>
  <c r="T100" i="16" s="1"/>
  <c r="Z99" i="16"/>
  <c r="P99" i="16"/>
  <c r="M97" i="17"/>
  <c r="AG101" i="17"/>
  <c r="Q99" i="17"/>
  <c r="Q101" i="17" s="1"/>
  <c r="Q96" i="15"/>
  <c r="P100" i="12"/>
  <c r="N96" i="13"/>
  <c r="X99" i="13"/>
  <c r="M96" i="14"/>
  <c r="M100" i="14" s="1"/>
  <c r="X97" i="14"/>
  <c r="F97" i="15"/>
  <c r="N97" i="15"/>
  <c r="L96" i="16"/>
  <c r="L100" i="16" s="1"/>
  <c r="AB101" i="17"/>
  <c r="K99" i="17"/>
  <c r="S90" i="18"/>
  <c r="S92" i="18" s="1"/>
  <c r="O96" i="16"/>
  <c r="O100" i="16" s="1"/>
  <c r="O101" i="16" s="1"/>
  <c r="I99" i="16"/>
  <c r="G100" i="17"/>
  <c r="S99" i="18"/>
  <c r="S101" i="18" s="1"/>
  <c r="G97" i="14"/>
  <c r="F113" i="13"/>
  <c r="T88" i="8"/>
  <c r="I88" i="8"/>
  <c r="I90" i="8" s="1"/>
  <c r="I92" i="8" s="1"/>
  <c r="M88" i="8"/>
  <c r="M90" i="8" s="1"/>
  <c r="M92" i="8" s="1"/>
  <c r="R88" i="8"/>
  <c r="Y88" i="8"/>
  <c r="Y90" i="8" s="1"/>
  <c r="Y92" i="8" s="1"/>
  <c r="N88" i="8"/>
  <c r="N100" i="8" s="1"/>
  <c r="L88" i="8"/>
  <c r="L90" i="8" s="1"/>
  <c r="L92" i="8" s="1"/>
  <c r="AC88" i="8"/>
  <c r="AC99" i="8" s="1"/>
  <c r="Q88" i="8"/>
  <c r="Q100" i="8" s="1"/>
  <c r="AA57" i="8"/>
  <c r="AD88" i="8"/>
  <c r="AD99" i="8" s="1"/>
  <c r="AA49" i="8"/>
  <c r="AE88" i="8"/>
  <c r="AE99" i="8" s="1"/>
  <c r="AA86" i="8"/>
  <c r="U88" i="8"/>
  <c r="U90" i="8" s="1"/>
  <c r="U92" i="8" s="1"/>
  <c r="O88" i="8"/>
  <c r="AF88" i="8"/>
  <c r="AF99" i="8" s="1"/>
  <c r="AG88" i="8"/>
  <c r="AG99" i="8" s="1"/>
  <c r="Z88" i="8"/>
  <c r="J88" i="8"/>
  <c r="J90" i="8" s="1"/>
  <c r="J92" i="8" s="1"/>
  <c r="S88" i="8"/>
  <c r="S90" i="8" s="1"/>
  <c r="S92" i="8" s="1"/>
  <c r="AB88" i="8"/>
  <c r="AB99" i="8" s="1"/>
  <c r="AE100" i="8"/>
  <c r="AF100" i="8"/>
  <c r="P88" i="8"/>
  <c r="P90" i="8" s="1"/>
  <c r="P92" i="8" s="1"/>
  <c r="AG100" i="8"/>
  <c r="R100" i="8"/>
  <c r="Z99" i="18"/>
  <c r="Z101" i="18" s="1"/>
  <c r="V97" i="18"/>
  <c r="V99" i="18"/>
  <c r="V101" i="18" s="1"/>
  <c r="Y100" i="18"/>
  <c r="Y97" i="18"/>
  <c r="Z97" i="18"/>
  <c r="U99" i="18"/>
  <c r="N99" i="18"/>
  <c r="Q96" i="18"/>
  <c r="Q100" i="18" s="1"/>
  <c r="Q101" i="18" s="1"/>
  <c r="R96" i="18"/>
  <c r="R100" i="18" s="1"/>
  <c r="R101" i="18" s="1"/>
  <c r="R97" i="18"/>
  <c r="K101" i="18"/>
  <c r="I96" i="18"/>
  <c r="I100" i="18" s="1"/>
  <c r="I101" i="18" s="1"/>
  <c r="J96" i="18"/>
  <c r="Y99" i="18"/>
  <c r="O96" i="18"/>
  <c r="O100" i="18" s="1"/>
  <c r="O101" i="18" s="1"/>
  <c r="U96" i="18"/>
  <c r="U100" i="18" s="1"/>
  <c r="F113" i="18"/>
  <c r="G96" i="18"/>
  <c r="G100" i="18" s="1"/>
  <c r="M96" i="18"/>
  <c r="M100" i="18" s="1"/>
  <c r="M101" i="18" s="1"/>
  <c r="T99" i="18"/>
  <c r="T96" i="18"/>
  <c r="T100" i="18" s="1"/>
  <c r="F90" i="18"/>
  <c r="F92" i="18" s="1"/>
  <c r="F99" i="18"/>
  <c r="L96" i="18"/>
  <c r="X101" i="18"/>
  <c r="H100" i="17"/>
  <c r="H97" i="17"/>
  <c r="X100" i="17"/>
  <c r="X97" i="17"/>
  <c r="P100" i="17"/>
  <c r="P97" i="17"/>
  <c r="F113" i="17"/>
  <c r="N99" i="17"/>
  <c r="U99" i="17"/>
  <c r="R97" i="17"/>
  <c r="N96" i="17"/>
  <c r="N100" i="17" s="1"/>
  <c r="U96" i="17"/>
  <c r="U100" i="17" s="1"/>
  <c r="P99" i="17"/>
  <c r="G97" i="17"/>
  <c r="V97" i="17"/>
  <c r="F99" i="17"/>
  <c r="M99" i="17"/>
  <c r="M101" i="17" s="1"/>
  <c r="G90" i="17"/>
  <c r="G92" i="17" s="1"/>
  <c r="G99" i="17"/>
  <c r="O96" i="17"/>
  <c r="O100" i="17" s="1"/>
  <c r="O101" i="17" s="1"/>
  <c r="K96" i="17"/>
  <c r="K100" i="17" s="1"/>
  <c r="H99" i="17"/>
  <c r="T97" i="17"/>
  <c r="L97" i="17"/>
  <c r="Z96" i="17"/>
  <c r="T99" i="17"/>
  <c r="L99" i="17"/>
  <c r="Z100" i="16"/>
  <c r="Z101" i="16" s="1"/>
  <c r="Z97" i="16"/>
  <c r="I100" i="16"/>
  <c r="I97" i="16"/>
  <c r="N99" i="16"/>
  <c r="N101" i="16" s="1"/>
  <c r="R96" i="16"/>
  <c r="R100" i="16" s="1"/>
  <c r="V99" i="16"/>
  <c r="K99" i="16"/>
  <c r="K101" i="16" s="1"/>
  <c r="R99" i="16"/>
  <c r="X101" i="16"/>
  <c r="N97" i="16"/>
  <c r="F90" i="16"/>
  <c r="F92" i="16" s="1"/>
  <c r="F99" i="16"/>
  <c r="F101" i="16" s="1"/>
  <c r="Y96" i="16"/>
  <c r="Y100" i="16" s="1"/>
  <c r="Y101" i="16" s="1"/>
  <c r="W97" i="16"/>
  <c r="F97" i="16"/>
  <c r="V96" i="16"/>
  <c r="V100" i="16" s="1"/>
  <c r="J97" i="16"/>
  <c r="K97" i="16"/>
  <c r="Q96" i="16"/>
  <c r="Q100" i="16" s="1"/>
  <c r="M99" i="16"/>
  <c r="T99" i="16"/>
  <c r="T101" i="16" s="1"/>
  <c r="U96" i="16"/>
  <c r="W99" i="16"/>
  <c r="W101" i="16" s="1"/>
  <c r="M96" i="16"/>
  <c r="M100" i="16" s="1"/>
  <c r="F113" i="16"/>
  <c r="E113" i="16"/>
  <c r="X100" i="15"/>
  <c r="X101" i="15" s="1"/>
  <c r="X97" i="15"/>
  <c r="P100" i="15"/>
  <c r="P97" i="15"/>
  <c r="R97" i="15"/>
  <c r="F99" i="15"/>
  <c r="F101" i="15" s="1"/>
  <c r="E113" i="15"/>
  <c r="R101" i="15"/>
  <c r="I101" i="15"/>
  <c r="F113" i="15"/>
  <c r="G90" i="15"/>
  <c r="G92" i="15" s="1"/>
  <c r="G99" i="15"/>
  <c r="U96" i="15"/>
  <c r="U100" i="15" s="1"/>
  <c r="U101" i="15" s="1"/>
  <c r="H97" i="15"/>
  <c r="S97" i="15"/>
  <c r="W96" i="15"/>
  <c r="W100" i="15" s="1"/>
  <c r="W101" i="15" s="1"/>
  <c r="M96" i="15"/>
  <c r="M100" i="15" s="1"/>
  <c r="P99" i="15"/>
  <c r="W97" i="15"/>
  <c r="T97" i="15"/>
  <c r="T99" i="15"/>
  <c r="O96" i="15"/>
  <c r="O100" i="15" s="1"/>
  <c r="O101" i="15" s="1"/>
  <c r="L97" i="15"/>
  <c r="G96" i="15"/>
  <c r="G100" i="15" s="1"/>
  <c r="M99" i="15"/>
  <c r="Y101" i="15"/>
  <c r="H99" i="15"/>
  <c r="H101" i="15" s="1"/>
  <c r="L99" i="15"/>
  <c r="L101" i="15" s="1"/>
  <c r="U96" i="14"/>
  <c r="U100" i="14" s="1"/>
  <c r="U99" i="14"/>
  <c r="F96" i="14"/>
  <c r="F100" i="14" s="1"/>
  <c r="F101" i="14" s="1"/>
  <c r="M99" i="14"/>
  <c r="Z97" i="14"/>
  <c r="R97" i="14"/>
  <c r="V99" i="14"/>
  <c r="V101" i="14" s="1"/>
  <c r="Z99" i="14"/>
  <c r="Z101" i="14" s="1"/>
  <c r="K97" i="14"/>
  <c r="L96" i="14"/>
  <c r="L100" i="14" s="1"/>
  <c r="L101" i="14" s="1"/>
  <c r="X99" i="14"/>
  <c r="R99" i="14"/>
  <c r="R101" i="14" s="1"/>
  <c r="T96" i="14"/>
  <c r="T100" i="14" s="1"/>
  <c r="T101" i="14" s="1"/>
  <c r="F113" i="14"/>
  <c r="E113" i="14"/>
  <c r="Z96" i="13"/>
  <c r="Z100" i="13" s="1"/>
  <c r="Z101" i="13" s="1"/>
  <c r="Y101" i="13"/>
  <c r="V97" i="13"/>
  <c r="V99" i="13"/>
  <c r="V101" i="13" s="1"/>
  <c r="U96" i="13"/>
  <c r="U100" i="13" s="1"/>
  <c r="U101" i="13" s="1"/>
  <c r="P99" i="13"/>
  <c r="P100" i="13"/>
  <c r="P97" i="13"/>
  <c r="W97" i="13"/>
  <c r="O99" i="13"/>
  <c r="O101" i="13" s="1"/>
  <c r="F96" i="13"/>
  <c r="F100" i="13" s="1"/>
  <c r="M96" i="13"/>
  <c r="S96" i="13"/>
  <c r="S100" i="13" s="1"/>
  <c r="S101" i="13" s="1"/>
  <c r="G97" i="13"/>
  <c r="R96" i="13"/>
  <c r="R100" i="13" s="1"/>
  <c r="K96" i="13"/>
  <c r="H96" i="13"/>
  <c r="N99" i="13"/>
  <c r="J96" i="13"/>
  <c r="K99" i="13"/>
  <c r="K90" i="13"/>
  <c r="K92" i="13" s="1"/>
  <c r="F99" i="13"/>
  <c r="G90" i="13"/>
  <c r="G92" i="13" s="1"/>
  <c r="G99" i="13"/>
  <c r="G101" i="13" s="1"/>
  <c r="W99" i="13"/>
  <c r="W101" i="13" s="1"/>
  <c r="Q101" i="13"/>
  <c r="X97" i="13"/>
  <c r="L101" i="13"/>
  <c r="E113" i="13"/>
  <c r="AB101" i="12"/>
  <c r="T97" i="12"/>
  <c r="I100" i="12"/>
  <c r="S99" i="12"/>
  <c r="I99" i="12"/>
  <c r="M99" i="12"/>
  <c r="I97" i="12"/>
  <c r="K97" i="12"/>
  <c r="G100" i="12"/>
  <c r="G101" i="12" s="1"/>
  <c r="M100" i="12"/>
  <c r="S100" i="12"/>
  <c r="Z99" i="12"/>
  <c r="Z96" i="12"/>
  <c r="Z100" i="12" s="1"/>
  <c r="P97" i="12"/>
  <c r="H97" i="12"/>
  <c r="J100" i="12"/>
  <c r="J97" i="12"/>
  <c r="Q100" i="12"/>
  <c r="Q97" i="12"/>
  <c r="R99" i="12"/>
  <c r="Y97" i="12"/>
  <c r="E113" i="12"/>
  <c r="F90" i="12"/>
  <c r="F92" i="12" s="1"/>
  <c r="F99" i="12"/>
  <c r="F100" i="12"/>
  <c r="X99" i="12"/>
  <c r="X101" i="12" s="1"/>
  <c r="F113" i="12"/>
  <c r="V99" i="12"/>
  <c r="V101" i="12" s="1"/>
  <c r="J99" i="12"/>
  <c r="J90" i="12"/>
  <c r="J92" i="12" s="1"/>
  <c r="W99" i="12"/>
  <c r="W101" i="12" s="1"/>
  <c r="V97" i="12"/>
  <c r="R96" i="12"/>
  <c r="R100" i="12" s="1"/>
  <c r="P99" i="12"/>
  <c r="W97" i="12"/>
  <c r="N99" i="12"/>
  <c r="N101" i="12" s="1"/>
  <c r="N97" i="12"/>
  <c r="G90" i="12"/>
  <c r="G92" i="12" s="1"/>
  <c r="O99" i="12"/>
  <c r="O97" i="12"/>
  <c r="F97" i="12"/>
  <c r="Y101" i="12"/>
  <c r="H99" i="12"/>
  <c r="H101" i="12" s="1"/>
  <c r="X97" i="12"/>
  <c r="G97" i="12"/>
  <c r="AA18" i="8"/>
  <c r="O97" i="8"/>
  <c r="T95" i="8"/>
  <c r="T99" i="8" s="1"/>
  <c r="V95" i="8"/>
  <c r="V96" i="8" s="1"/>
  <c r="G88" i="8"/>
  <c r="T90" i="8"/>
  <c r="T92" i="8" s="1"/>
  <c r="X88" i="8"/>
  <c r="K88" i="8"/>
  <c r="O100" i="8"/>
  <c r="U95" i="8"/>
  <c r="U96" i="8" s="1"/>
  <c r="AA12" i="8"/>
  <c r="F88" i="8"/>
  <c r="N97" i="8"/>
  <c r="O99" i="8"/>
  <c r="O90" i="8"/>
  <c r="O92" i="8" s="1"/>
  <c r="AC100" i="8"/>
  <c r="P97" i="8"/>
  <c r="F95" i="8"/>
  <c r="H88" i="8"/>
  <c r="AA33" i="8"/>
  <c r="S95" i="8"/>
  <c r="AD100" i="8"/>
  <c r="Q97" i="8"/>
  <c r="AB100" i="8"/>
  <c r="V88" i="8"/>
  <c r="W88" i="8"/>
  <c r="R99" i="8"/>
  <c r="R90" i="8"/>
  <c r="R92" i="8" s="1"/>
  <c r="R97" i="8"/>
  <c r="G95" i="8"/>
  <c r="W95" i="8"/>
  <c r="H95" i="8"/>
  <c r="H96" i="8" s="1"/>
  <c r="X95" i="8"/>
  <c r="X96" i="8" s="1"/>
  <c r="I95" i="8"/>
  <c r="I96" i="8" s="1"/>
  <c r="I100" i="8" s="1"/>
  <c r="Y95" i="8"/>
  <c r="Y96" i="8" s="1"/>
  <c r="J95" i="8"/>
  <c r="J96" i="8" s="1"/>
  <c r="Z95" i="8"/>
  <c r="Z96" i="8" s="1"/>
  <c r="K95" i="8"/>
  <c r="K96" i="8" s="1"/>
  <c r="L95" i="8"/>
  <c r="L96" i="8" s="1"/>
  <c r="L100" i="8" s="1"/>
  <c r="M95" i="8"/>
  <c r="M96" i="8" s="1"/>
  <c r="Z93" i="5"/>
  <c r="Y93" i="5"/>
  <c r="X93" i="5"/>
  <c r="W93" i="5"/>
  <c r="V93" i="5"/>
  <c r="U93" i="5"/>
  <c r="Q93" i="5"/>
  <c r="P93" i="5"/>
  <c r="O93" i="5"/>
  <c r="M93" i="5"/>
  <c r="L93" i="5"/>
  <c r="H93" i="5"/>
  <c r="G93" i="5"/>
  <c r="F93" i="5"/>
  <c r="S101" i="15" l="1"/>
  <c r="K97" i="17"/>
  <c r="N101" i="18"/>
  <c r="D104" i="16"/>
  <c r="R101" i="17"/>
  <c r="R101" i="13"/>
  <c r="S101" i="14"/>
  <c r="D104" i="12"/>
  <c r="S101" i="17"/>
  <c r="D104" i="15"/>
  <c r="G101" i="14"/>
  <c r="G115" i="19"/>
  <c r="S97" i="16"/>
  <c r="X101" i="17"/>
  <c r="H97" i="14"/>
  <c r="T101" i="17"/>
  <c r="Q101" i="16"/>
  <c r="D104" i="17"/>
  <c r="L97" i="16"/>
  <c r="I101" i="12"/>
  <c r="F97" i="14"/>
  <c r="I101" i="14"/>
  <c r="N97" i="18"/>
  <c r="Q101" i="12"/>
  <c r="P101" i="13"/>
  <c r="D104" i="18"/>
  <c r="W101" i="18"/>
  <c r="S101" i="16"/>
  <c r="H101" i="14"/>
  <c r="D115" i="19"/>
  <c r="F100" i="18"/>
  <c r="F101" i="18" s="1"/>
  <c r="M100" i="8"/>
  <c r="Q97" i="18"/>
  <c r="R101" i="16"/>
  <c r="V100" i="15"/>
  <c r="V101" i="15" s="1"/>
  <c r="D104" i="14"/>
  <c r="O101" i="12"/>
  <c r="P97" i="14"/>
  <c r="S97" i="14"/>
  <c r="P101" i="16"/>
  <c r="S97" i="13"/>
  <c r="L101" i="17"/>
  <c r="S97" i="17"/>
  <c r="L101" i="16"/>
  <c r="T101" i="15"/>
  <c r="AD101" i="8"/>
  <c r="K101" i="17"/>
  <c r="W97" i="18"/>
  <c r="G101" i="17"/>
  <c r="K100" i="13"/>
  <c r="K97" i="13"/>
  <c r="G101" i="15"/>
  <c r="U100" i="16"/>
  <c r="U101" i="16" s="1"/>
  <c r="U97" i="16"/>
  <c r="I101" i="16"/>
  <c r="AA11" i="14"/>
  <c r="N100" i="13"/>
  <c r="N101" i="13" s="1"/>
  <c r="N97" i="13"/>
  <c r="Q100" i="15"/>
  <c r="Q101" i="15" s="1"/>
  <c r="Q97" i="15"/>
  <c r="J100" i="15"/>
  <c r="J101" i="15" s="1"/>
  <c r="J97" i="15"/>
  <c r="G100" i="16"/>
  <c r="G101" i="16" s="1"/>
  <c r="G97" i="16"/>
  <c r="AA56" i="16" s="1"/>
  <c r="D111" i="16" s="1"/>
  <c r="G111" i="16" s="1"/>
  <c r="W100" i="17"/>
  <c r="W101" i="17" s="1"/>
  <c r="W97" i="17"/>
  <c r="Z100" i="15"/>
  <c r="Z101" i="15" s="1"/>
  <c r="Z97" i="15"/>
  <c r="H101" i="18"/>
  <c r="D104" i="13"/>
  <c r="P101" i="12"/>
  <c r="AF101" i="8"/>
  <c r="P101" i="18"/>
  <c r="M101" i="15"/>
  <c r="X101" i="14"/>
  <c r="M101" i="14"/>
  <c r="U101" i="14"/>
  <c r="X101" i="13"/>
  <c r="Z101" i="12"/>
  <c r="M101" i="12"/>
  <c r="N99" i="8"/>
  <c r="N101" i="8" s="1"/>
  <c r="AG101" i="8"/>
  <c r="O97" i="16"/>
  <c r="K100" i="15"/>
  <c r="K101" i="15" s="1"/>
  <c r="K97" i="15"/>
  <c r="N97" i="14"/>
  <c r="V97" i="14"/>
  <c r="Z97" i="13"/>
  <c r="V101" i="16"/>
  <c r="P101" i="17"/>
  <c r="O97" i="17"/>
  <c r="AA32" i="17" s="1"/>
  <c r="D109" i="17" s="1"/>
  <c r="T97" i="16"/>
  <c r="F97" i="17"/>
  <c r="J100" i="17"/>
  <c r="J101" i="17" s="1"/>
  <c r="J97" i="17"/>
  <c r="T97" i="14"/>
  <c r="U101" i="18"/>
  <c r="K101" i="14"/>
  <c r="N90" i="8"/>
  <c r="N92" i="8" s="1"/>
  <c r="L97" i="14"/>
  <c r="O97" i="15"/>
  <c r="M97" i="15"/>
  <c r="H101" i="17"/>
  <c r="F101" i="17"/>
  <c r="O97" i="18"/>
  <c r="M97" i="14"/>
  <c r="R101" i="8"/>
  <c r="S99" i="8"/>
  <c r="J100" i="8"/>
  <c r="AE101" i="8"/>
  <c r="Y100" i="8"/>
  <c r="AC101" i="8"/>
  <c r="Q90" i="8"/>
  <c r="Q92" i="8" s="1"/>
  <c r="Q99" i="8"/>
  <c r="Q101" i="8" s="1"/>
  <c r="U100" i="8"/>
  <c r="Z99" i="8"/>
  <c r="G99" i="8"/>
  <c r="T96" i="8"/>
  <c r="T100" i="8" s="1"/>
  <c r="T101" i="8" s="1"/>
  <c r="K97" i="8"/>
  <c r="Z90" i="8"/>
  <c r="Z92" i="8" s="1"/>
  <c r="P99" i="8"/>
  <c r="Z100" i="8"/>
  <c r="G96" i="8"/>
  <c r="G100" i="8" s="1"/>
  <c r="P100" i="8"/>
  <c r="K100" i="8"/>
  <c r="V100" i="8"/>
  <c r="Y101" i="18"/>
  <c r="J100" i="18"/>
  <c r="J101" i="18" s="1"/>
  <c r="J97" i="18"/>
  <c r="T101" i="18"/>
  <c r="U97" i="18"/>
  <c r="T97" i="18"/>
  <c r="M97" i="18"/>
  <c r="L100" i="18"/>
  <c r="L101" i="18" s="1"/>
  <c r="L97" i="18"/>
  <c r="G101" i="18"/>
  <c r="G97" i="18"/>
  <c r="I97" i="18"/>
  <c r="U97" i="17"/>
  <c r="Z100" i="17"/>
  <c r="Z101" i="17" s="1"/>
  <c r="Z97" i="17"/>
  <c r="U101" i="17"/>
  <c r="AA48" i="17"/>
  <c r="AA11" i="17"/>
  <c r="AA56" i="17"/>
  <c r="N101" i="17"/>
  <c r="N97" i="17"/>
  <c r="M101" i="16"/>
  <c r="Y97" i="16"/>
  <c r="V97" i="16"/>
  <c r="Q97" i="16"/>
  <c r="R97" i="16"/>
  <c r="M97" i="16"/>
  <c r="U97" i="15"/>
  <c r="P101" i="15"/>
  <c r="G97" i="15"/>
  <c r="U97" i="14"/>
  <c r="U97" i="13"/>
  <c r="J100" i="13"/>
  <c r="J101" i="13" s="1"/>
  <c r="J97" i="13"/>
  <c r="M100" i="13"/>
  <c r="M101" i="13" s="1"/>
  <c r="M97" i="13"/>
  <c r="H100" i="13"/>
  <c r="H101" i="13" s="1"/>
  <c r="H97" i="13"/>
  <c r="AA48" i="13" s="1"/>
  <c r="F101" i="13"/>
  <c r="R97" i="13"/>
  <c r="K101" i="13"/>
  <c r="AA11" i="13"/>
  <c r="AA32" i="13"/>
  <c r="F97" i="13"/>
  <c r="Z97" i="12"/>
  <c r="S101" i="12"/>
  <c r="J101" i="12"/>
  <c r="F101" i="12"/>
  <c r="R101" i="12"/>
  <c r="R97" i="12"/>
  <c r="AA48" i="12"/>
  <c r="AA56" i="12"/>
  <c r="AA11" i="12"/>
  <c r="AA32" i="12"/>
  <c r="AA17" i="12"/>
  <c r="AA85" i="12"/>
  <c r="Y97" i="8"/>
  <c r="X100" i="8"/>
  <c r="X97" i="8"/>
  <c r="H100" i="8"/>
  <c r="H97" i="8"/>
  <c r="V99" i="8"/>
  <c r="V90" i="8"/>
  <c r="V92" i="8" s="1"/>
  <c r="AB101" i="8"/>
  <c r="H99" i="8"/>
  <c r="H90" i="8"/>
  <c r="H92" i="8" s="1"/>
  <c r="V97" i="8"/>
  <c r="U97" i="8"/>
  <c r="F96" i="8"/>
  <c r="F100" i="8" s="1"/>
  <c r="Z97" i="8"/>
  <c r="M97" i="8"/>
  <c r="I99" i="8"/>
  <c r="I101" i="8" s="1"/>
  <c r="J99" i="8"/>
  <c r="X99" i="8"/>
  <c r="X101" i="8" s="1"/>
  <c r="X90" i="8"/>
  <c r="X92" i="8" s="1"/>
  <c r="F90" i="8"/>
  <c r="F99" i="8"/>
  <c r="Y99" i="8"/>
  <c r="Y101" i="8" s="1"/>
  <c r="L97" i="8"/>
  <c r="S96" i="8"/>
  <c r="S100" i="8" s="1"/>
  <c r="S101" i="8" s="1"/>
  <c r="L99" i="8"/>
  <c r="L101" i="8" s="1"/>
  <c r="I97" i="8"/>
  <c r="K99" i="8"/>
  <c r="K90" i="8"/>
  <c r="K92" i="8" s="1"/>
  <c r="U99" i="8"/>
  <c r="F113" i="8"/>
  <c r="G90" i="8"/>
  <c r="G92" i="8" s="1"/>
  <c r="W96" i="8"/>
  <c r="W100" i="8" s="1"/>
  <c r="M99" i="8"/>
  <c r="O101" i="8"/>
  <c r="W99" i="8"/>
  <c r="W90" i="8"/>
  <c r="W92" i="8" s="1"/>
  <c r="J97" i="8"/>
  <c r="E113" i="8"/>
  <c r="AG96" i="7"/>
  <c r="AG97" i="7" s="1"/>
  <c r="AF96" i="7"/>
  <c r="AF97" i="7" s="1"/>
  <c r="AE96" i="7"/>
  <c r="AE97" i="7" s="1"/>
  <c r="AD96" i="7"/>
  <c r="AD97" i="7" s="1"/>
  <c r="AC96" i="7"/>
  <c r="AC97" i="7" s="1"/>
  <c r="AB96" i="7"/>
  <c r="AB97" i="7" s="1"/>
  <c r="Z95" i="7"/>
  <c r="Z96" i="7" s="1"/>
  <c r="Y95" i="7"/>
  <c r="X95" i="7"/>
  <c r="X96" i="7" s="1"/>
  <c r="W95" i="7"/>
  <c r="V95" i="7"/>
  <c r="V96" i="7" s="1"/>
  <c r="Q95" i="7"/>
  <c r="Q96" i="7" s="1"/>
  <c r="P95" i="7"/>
  <c r="O95" i="7"/>
  <c r="O96" i="7" s="1"/>
  <c r="H95" i="7"/>
  <c r="H96" i="7" s="1"/>
  <c r="G95" i="7"/>
  <c r="F95" i="7"/>
  <c r="T94" i="7"/>
  <c r="S94" i="7"/>
  <c r="R94" i="7"/>
  <c r="N94" i="7"/>
  <c r="N95" i="7" s="1"/>
  <c r="K94" i="7"/>
  <c r="J94" i="7"/>
  <c r="J95" i="7" s="1"/>
  <c r="I94" i="7"/>
  <c r="Z91" i="7"/>
  <c r="Y91" i="7"/>
  <c r="X91" i="7"/>
  <c r="W91" i="7"/>
  <c r="V91" i="7"/>
  <c r="U91" i="7"/>
  <c r="T91" i="7"/>
  <c r="S91" i="7"/>
  <c r="R91" i="7"/>
  <c r="Q91" i="7"/>
  <c r="P91" i="7"/>
  <c r="O91" i="7"/>
  <c r="N91" i="7"/>
  <c r="M91" i="7"/>
  <c r="L91" i="7"/>
  <c r="K91" i="7"/>
  <c r="J91" i="7"/>
  <c r="I91" i="7"/>
  <c r="H91" i="7"/>
  <c r="G91" i="7"/>
  <c r="AG86" i="7"/>
  <c r="AF86" i="7"/>
  <c r="AE86" i="7"/>
  <c r="AD86" i="7"/>
  <c r="AC86" i="7"/>
  <c r="AB86" i="7"/>
  <c r="Z86" i="7"/>
  <c r="Y86" i="7"/>
  <c r="X86" i="7"/>
  <c r="W86" i="7"/>
  <c r="V86" i="7"/>
  <c r="U86" i="7"/>
  <c r="T86" i="7"/>
  <c r="S86" i="7"/>
  <c r="R86" i="7"/>
  <c r="Q86" i="7"/>
  <c r="P86" i="7"/>
  <c r="O86" i="7"/>
  <c r="N86" i="7"/>
  <c r="M86" i="7"/>
  <c r="L86" i="7"/>
  <c r="K86" i="7"/>
  <c r="J86" i="7"/>
  <c r="I86" i="7"/>
  <c r="H86" i="7"/>
  <c r="G86" i="7"/>
  <c r="F86" i="7"/>
  <c r="AG57" i="7"/>
  <c r="AF57" i="7"/>
  <c r="AE57" i="7"/>
  <c r="AC57" i="7"/>
  <c r="Z57" i="7"/>
  <c r="Y57" i="7"/>
  <c r="X57" i="7"/>
  <c r="W57" i="7"/>
  <c r="V57" i="7"/>
  <c r="U57" i="7"/>
  <c r="T57" i="7"/>
  <c r="S57" i="7"/>
  <c r="R57" i="7"/>
  <c r="Q57" i="7"/>
  <c r="P57" i="7"/>
  <c r="O57" i="7"/>
  <c r="N57" i="7"/>
  <c r="M57" i="7"/>
  <c r="L57" i="7"/>
  <c r="K57" i="7"/>
  <c r="J57" i="7"/>
  <c r="I57" i="7"/>
  <c r="H57" i="7"/>
  <c r="G57" i="7"/>
  <c r="F57" i="7"/>
  <c r="AD52" i="7"/>
  <c r="AD57" i="7" s="1"/>
  <c r="AB52" i="7"/>
  <c r="AB57" i="7" s="1"/>
  <c r="AG49" i="7"/>
  <c r="AF49" i="7"/>
  <c r="AE49" i="7"/>
  <c r="AD49" i="7"/>
  <c r="AC49" i="7"/>
  <c r="AB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AG33" i="7"/>
  <c r="AF33" i="7"/>
  <c r="AE33" i="7"/>
  <c r="AD33" i="7"/>
  <c r="AC33" i="7"/>
  <c r="AB33" i="7"/>
  <c r="Z33" i="7"/>
  <c r="Y33" i="7"/>
  <c r="X33" i="7"/>
  <c r="W33" i="7"/>
  <c r="V33" i="7"/>
  <c r="U33" i="7"/>
  <c r="T33" i="7"/>
  <c r="S33" i="7"/>
  <c r="R33" i="7"/>
  <c r="Q33" i="7"/>
  <c r="P33" i="7"/>
  <c r="O33" i="7"/>
  <c r="N33" i="7"/>
  <c r="M33" i="7"/>
  <c r="L33" i="7"/>
  <c r="K33" i="7"/>
  <c r="J33" i="7"/>
  <c r="I33" i="7"/>
  <c r="H33" i="7"/>
  <c r="G33" i="7"/>
  <c r="F33" i="7"/>
  <c r="AG18" i="7"/>
  <c r="AF18" i="7"/>
  <c r="AE18" i="7"/>
  <c r="AD18" i="7"/>
  <c r="AC18" i="7"/>
  <c r="AB18" i="7"/>
  <c r="Z18" i="7"/>
  <c r="Y18" i="7"/>
  <c r="X18" i="7"/>
  <c r="W18" i="7"/>
  <c r="V18" i="7"/>
  <c r="U18" i="7"/>
  <c r="T18" i="7"/>
  <c r="S18" i="7"/>
  <c r="R18" i="7"/>
  <c r="Q18" i="7"/>
  <c r="P18" i="7"/>
  <c r="O18" i="7"/>
  <c r="N18" i="7"/>
  <c r="M18" i="7"/>
  <c r="L18" i="7"/>
  <c r="K18" i="7"/>
  <c r="J18" i="7"/>
  <c r="I18" i="7"/>
  <c r="H18" i="7"/>
  <c r="G18" i="7"/>
  <c r="F18" i="7"/>
  <c r="AG12" i="7"/>
  <c r="AF12" i="7"/>
  <c r="AE12" i="7"/>
  <c r="AD12" i="7"/>
  <c r="AC12" i="7"/>
  <c r="AB12" i="7"/>
  <c r="Z12" i="7"/>
  <c r="Y12" i="7"/>
  <c r="X12" i="7"/>
  <c r="W12" i="7"/>
  <c r="V12" i="7"/>
  <c r="U12" i="7"/>
  <c r="T12" i="7"/>
  <c r="S12" i="7"/>
  <c r="R12" i="7"/>
  <c r="Q12" i="7"/>
  <c r="P12" i="7"/>
  <c r="O12" i="7"/>
  <c r="N12" i="7"/>
  <c r="M12" i="7"/>
  <c r="L12" i="7"/>
  <c r="K12" i="7"/>
  <c r="J12" i="7"/>
  <c r="I12" i="7"/>
  <c r="H12" i="7"/>
  <c r="G12" i="7"/>
  <c r="F12" i="7"/>
  <c r="AG95" i="5"/>
  <c r="AG96" i="5" s="1"/>
  <c r="AF95" i="5"/>
  <c r="AF96" i="5" s="1"/>
  <c r="AE95" i="5"/>
  <c r="AE96" i="5" s="1"/>
  <c r="AD95" i="5"/>
  <c r="AD96" i="5" s="1"/>
  <c r="AC95" i="5"/>
  <c r="AC96" i="5" s="1"/>
  <c r="AB95" i="5"/>
  <c r="AB96" i="5" s="1"/>
  <c r="W94" i="5"/>
  <c r="W95" i="5" s="1"/>
  <c r="T93" i="5"/>
  <c r="T94" i="5" s="1"/>
  <c r="S93" i="5"/>
  <c r="R93" i="5"/>
  <c r="O94" i="5"/>
  <c r="N93" i="5"/>
  <c r="K93" i="5"/>
  <c r="J93" i="5"/>
  <c r="I93" i="5"/>
  <c r="G94" i="5"/>
  <c r="G95" i="5" s="1"/>
  <c r="Z90" i="5"/>
  <c r="Y90" i="5"/>
  <c r="X90" i="5"/>
  <c r="W90" i="5"/>
  <c r="V90" i="5"/>
  <c r="U90" i="5"/>
  <c r="T90" i="5"/>
  <c r="S90" i="5"/>
  <c r="R90" i="5"/>
  <c r="Q90" i="5"/>
  <c r="P90" i="5"/>
  <c r="O90" i="5"/>
  <c r="N90" i="5"/>
  <c r="M90" i="5"/>
  <c r="L90" i="5"/>
  <c r="K90" i="5"/>
  <c r="J90" i="5"/>
  <c r="I90" i="5"/>
  <c r="H90" i="5"/>
  <c r="G90" i="5"/>
  <c r="AG85" i="5"/>
  <c r="AF85" i="5"/>
  <c r="AE85" i="5"/>
  <c r="AD85" i="5"/>
  <c r="AC85" i="5"/>
  <c r="AB85" i="5"/>
  <c r="Z85" i="5"/>
  <c r="Y85" i="5"/>
  <c r="X85" i="5"/>
  <c r="W85" i="5"/>
  <c r="V85" i="5"/>
  <c r="U85" i="5"/>
  <c r="T85" i="5"/>
  <c r="S85" i="5"/>
  <c r="R85" i="5"/>
  <c r="Q85" i="5"/>
  <c r="P85" i="5"/>
  <c r="O85" i="5"/>
  <c r="N85" i="5"/>
  <c r="M85" i="5"/>
  <c r="L85" i="5"/>
  <c r="K85" i="5"/>
  <c r="J85" i="5"/>
  <c r="I85" i="5"/>
  <c r="H85" i="5"/>
  <c r="G85" i="5"/>
  <c r="F85" i="5"/>
  <c r="AG56" i="5"/>
  <c r="AF56" i="5"/>
  <c r="AE56" i="5"/>
  <c r="AC56" i="5"/>
  <c r="Z56" i="5"/>
  <c r="Y56" i="5"/>
  <c r="X56" i="5"/>
  <c r="W56" i="5"/>
  <c r="V56" i="5"/>
  <c r="U56" i="5"/>
  <c r="T56" i="5"/>
  <c r="S56" i="5"/>
  <c r="R56" i="5"/>
  <c r="Q56" i="5"/>
  <c r="P56" i="5"/>
  <c r="O56" i="5"/>
  <c r="N56" i="5"/>
  <c r="M56" i="5"/>
  <c r="L56" i="5"/>
  <c r="K56" i="5"/>
  <c r="J56" i="5"/>
  <c r="I56" i="5"/>
  <c r="H56" i="5"/>
  <c r="G56" i="5"/>
  <c r="F56" i="5"/>
  <c r="AD51" i="5"/>
  <c r="AD56" i="5" s="1"/>
  <c r="AB51" i="5"/>
  <c r="AB56" i="5" s="1"/>
  <c r="AG48" i="5"/>
  <c r="AF48" i="5"/>
  <c r="AE48" i="5"/>
  <c r="AD48" i="5"/>
  <c r="AC48" i="5"/>
  <c r="AB48" i="5"/>
  <c r="Z48" i="5"/>
  <c r="Y48" i="5"/>
  <c r="X48" i="5"/>
  <c r="W48" i="5"/>
  <c r="V48" i="5"/>
  <c r="U48" i="5"/>
  <c r="T48" i="5"/>
  <c r="S48" i="5"/>
  <c r="R48" i="5"/>
  <c r="Q48" i="5"/>
  <c r="P48" i="5"/>
  <c r="O48" i="5"/>
  <c r="N48" i="5"/>
  <c r="M48" i="5"/>
  <c r="L48" i="5"/>
  <c r="K48" i="5"/>
  <c r="J48" i="5"/>
  <c r="I48" i="5"/>
  <c r="H48" i="5"/>
  <c r="G48" i="5"/>
  <c r="F48" i="5"/>
  <c r="AG32" i="5"/>
  <c r="AF32" i="5"/>
  <c r="AE32" i="5"/>
  <c r="AD32" i="5"/>
  <c r="AC32" i="5"/>
  <c r="AB32" i="5"/>
  <c r="Z32" i="5"/>
  <c r="Y32" i="5"/>
  <c r="X32" i="5"/>
  <c r="W32" i="5"/>
  <c r="V32" i="5"/>
  <c r="U32" i="5"/>
  <c r="T32" i="5"/>
  <c r="S32" i="5"/>
  <c r="R32" i="5"/>
  <c r="Q32" i="5"/>
  <c r="P32" i="5"/>
  <c r="O32" i="5"/>
  <c r="N32" i="5"/>
  <c r="M32" i="5"/>
  <c r="L32" i="5"/>
  <c r="K32" i="5"/>
  <c r="J32" i="5"/>
  <c r="I32" i="5"/>
  <c r="H32" i="5"/>
  <c r="G32" i="5"/>
  <c r="F32" i="5"/>
  <c r="AG17" i="5"/>
  <c r="AF17" i="5"/>
  <c r="AE17" i="5"/>
  <c r="AD17" i="5"/>
  <c r="AC17" i="5"/>
  <c r="AB17" i="5"/>
  <c r="Z17" i="5"/>
  <c r="Y17" i="5"/>
  <c r="X17" i="5"/>
  <c r="W17" i="5"/>
  <c r="V17" i="5"/>
  <c r="U17" i="5"/>
  <c r="T17" i="5"/>
  <c r="S17" i="5"/>
  <c r="R17" i="5"/>
  <c r="Q17" i="5"/>
  <c r="P17" i="5"/>
  <c r="O17" i="5"/>
  <c r="N17" i="5"/>
  <c r="M17" i="5"/>
  <c r="L17" i="5"/>
  <c r="K17" i="5"/>
  <c r="J17" i="5"/>
  <c r="I17" i="5"/>
  <c r="H17" i="5"/>
  <c r="G17" i="5"/>
  <c r="F17" i="5"/>
  <c r="AG12" i="5"/>
  <c r="AF12" i="5"/>
  <c r="AE12" i="5"/>
  <c r="AD12" i="5"/>
  <c r="AC12" i="5"/>
  <c r="AB12" i="5"/>
  <c r="Z12" i="5"/>
  <c r="Y12" i="5"/>
  <c r="X12" i="5"/>
  <c r="W12" i="5"/>
  <c r="V12" i="5"/>
  <c r="U12" i="5"/>
  <c r="T12" i="5"/>
  <c r="S12" i="5"/>
  <c r="R12" i="5"/>
  <c r="Q12" i="5"/>
  <c r="P12" i="5"/>
  <c r="O12" i="5"/>
  <c r="N12" i="5"/>
  <c r="M12" i="5"/>
  <c r="L12" i="5"/>
  <c r="K12" i="5"/>
  <c r="J12" i="5"/>
  <c r="I12" i="5"/>
  <c r="H12" i="5"/>
  <c r="G12" i="5"/>
  <c r="F12" i="5"/>
  <c r="AA56" i="14" l="1"/>
  <c r="AA17" i="14"/>
  <c r="AA17" i="16"/>
  <c r="D108" i="16" s="1"/>
  <c r="G108" i="16" s="1"/>
  <c r="M101" i="8"/>
  <c r="J101" i="8"/>
  <c r="AA11" i="16"/>
  <c r="D107" i="16" s="1"/>
  <c r="G107" i="16" s="1"/>
  <c r="AA17" i="17"/>
  <c r="D108" i="17" s="1"/>
  <c r="G108" i="17" s="1"/>
  <c r="AA85" i="17"/>
  <c r="AA85" i="16"/>
  <c r="AA48" i="14"/>
  <c r="AA32" i="15"/>
  <c r="AA85" i="14"/>
  <c r="AA32" i="14"/>
  <c r="C104" i="14"/>
  <c r="AA32" i="16"/>
  <c r="D107" i="14"/>
  <c r="G107" i="14" s="1"/>
  <c r="AA9" i="14"/>
  <c r="AA30" i="17"/>
  <c r="D110" i="12"/>
  <c r="G110" i="12" s="1"/>
  <c r="AA46" i="12"/>
  <c r="D109" i="13"/>
  <c r="AA30" i="13"/>
  <c r="D110" i="17"/>
  <c r="AA46" i="17"/>
  <c r="AA32" i="18"/>
  <c r="D107" i="13"/>
  <c r="AA9" i="13"/>
  <c r="D112" i="12"/>
  <c r="G112" i="12" s="1"/>
  <c r="AA84" i="12"/>
  <c r="AA54" i="16"/>
  <c r="D108" i="12"/>
  <c r="AA16" i="12"/>
  <c r="D112" i="17"/>
  <c r="AA84" i="17"/>
  <c r="D109" i="12"/>
  <c r="AA30" i="12"/>
  <c r="D110" i="13"/>
  <c r="G110" i="13" s="1"/>
  <c r="AA46" i="13"/>
  <c r="D107" i="12"/>
  <c r="AA9" i="12"/>
  <c r="D111" i="17"/>
  <c r="AA54" i="17"/>
  <c r="D111" i="12"/>
  <c r="G111" i="12" s="1"/>
  <c r="AA54" i="12"/>
  <c r="D107" i="17"/>
  <c r="AA9" i="17"/>
  <c r="U101" i="8"/>
  <c r="T97" i="8"/>
  <c r="D104" i="8"/>
  <c r="K101" i="8"/>
  <c r="Z101" i="8"/>
  <c r="G101" i="8"/>
  <c r="P101" i="8"/>
  <c r="V101" i="8"/>
  <c r="S97" i="8"/>
  <c r="G97" i="8"/>
  <c r="AA11" i="8" s="1"/>
  <c r="D107" i="8" s="1"/>
  <c r="W101" i="8"/>
  <c r="AA11" i="18"/>
  <c r="AA48" i="18"/>
  <c r="AA56" i="18"/>
  <c r="AA85" i="18"/>
  <c r="AA17" i="18"/>
  <c r="G110" i="17"/>
  <c r="G112" i="17"/>
  <c r="G111" i="17"/>
  <c r="G109" i="17"/>
  <c r="AA16" i="16"/>
  <c r="AA84" i="16"/>
  <c r="D112" i="16"/>
  <c r="G112" i="16" s="1"/>
  <c r="AA48" i="16"/>
  <c r="AA48" i="15"/>
  <c r="AA11" i="15"/>
  <c r="AA56" i="15"/>
  <c r="AA17" i="15"/>
  <c r="AA85" i="15"/>
  <c r="AA84" i="15" s="1"/>
  <c r="AA46" i="14"/>
  <c r="D110" i="14"/>
  <c r="G110" i="14" s="1"/>
  <c r="AA84" i="14"/>
  <c r="D112" i="14"/>
  <c r="G112" i="14" s="1"/>
  <c r="D108" i="14"/>
  <c r="AA16" i="14"/>
  <c r="G109" i="13"/>
  <c r="AA17" i="13"/>
  <c r="AA85" i="13"/>
  <c r="AA56" i="13"/>
  <c r="G108" i="12"/>
  <c r="C104" i="12"/>
  <c r="G109" i="12"/>
  <c r="E110" i="7"/>
  <c r="F110" i="7" s="1"/>
  <c r="E108" i="7"/>
  <c r="F108" i="7" s="1"/>
  <c r="E109" i="7"/>
  <c r="F109" i="7" s="1"/>
  <c r="E111" i="7"/>
  <c r="F111" i="7" s="1"/>
  <c r="E112" i="7"/>
  <c r="F112" i="7" s="1"/>
  <c r="E107" i="7"/>
  <c r="F107" i="7" s="1"/>
  <c r="J88" i="7"/>
  <c r="J90" i="7" s="1"/>
  <c r="J92" i="7" s="1"/>
  <c r="R88" i="7"/>
  <c r="R90" i="7" s="1"/>
  <c r="R92" i="7" s="1"/>
  <c r="L88" i="7"/>
  <c r="L90" i="7" s="1"/>
  <c r="L92" i="7" s="1"/>
  <c r="T88" i="7"/>
  <c r="T90" i="7" s="1"/>
  <c r="T92" i="7" s="1"/>
  <c r="AA86" i="7"/>
  <c r="J96" i="7"/>
  <c r="J97" i="7" s="1"/>
  <c r="I95" i="7"/>
  <c r="AA18" i="7"/>
  <c r="M88" i="7"/>
  <c r="M90" i="7" s="1"/>
  <c r="M92" i="7" s="1"/>
  <c r="AD88" i="7"/>
  <c r="AD99" i="7" s="1"/>
  <c r="I88" i="7"/>
  <c r="I90" i="7" s="1"/>
  <c r="I92" i="7" s="1"/>
  <c r="Q88" i="7"/>
  <c r="Q100" i="7" s="1"/>
  <c r="Y88" i="7"/>
  <c r="Y90" i="7" s="1"/>
  <c r="Y92" i="7" s="1"/>
  <c r="AA57" i="7"/>
  <c r="N96" i="7"/>
  <c r="N97" i="7" s="1"/>
  <c r="Z88" i="7"/>
  <c r="Z100" i="7" s="1"/>
  <c r="K88" i="7"/>
  <c r="K90" i="7" s="1"/>
  <c r="K92" i="7" s="1"/>
  <c r="AG100" i="7"/>
  <c r="AC88" i="7"/>
  <c r="AC99" i="7" s="1"/>
  <c r="R95" i="7"/>
  <c r="U88" i="7"/>
  <c r="U90" i="7" s="1"/>
  <c r="U92" i="7" s="1"/>
  <c r="AF100" i="7"/>
  <c r="AG88" i="7"/>
  <c r="AG99" i="7" s="1"/>
  <c r="O88" i="7"/>
  <c r="O99" i="7" s="1"/>
  <c r="W88" i="7"/>
  <c r="W99" i="7" s="1"/>
  <c r="AF88" i="7"/>
  <c r="AF99" i="7" s="1"/>
  <c r="AA49" i="7"/>
  <c r="S88" i="7"/>
  <c r="S90" i="7" s="1"/>
  <c r="S92" i="7" s="1"/>
  <c r="AE88" i="7"/>
  <c r="AE99" i="7" s="1"/>
  <c r="F88" i="7"/>
  <c r="N88" i="7"/>
  <c r="V88" i="7"/>
  <c r="V99" i="7" s="1"/>
  <c r="AE100" i="7"/>
  <c r="H88" i="7"/>
  <c r="H100" i="7" s="1"/>
  <c r="P88" i="7"/>
  <c r="X88" i="7"/>
  <c r="X99" i="7" s="1"/>
  <c r="Z97" i="7"/>
  <c r="Y96" i="7"/>
  <c r="Y97" i="7" s="1"/>
  <c r="W96" i="7"/>
  <c r="W97" i="7" s="1"/>
  <c r="Q97" i="7"/>
  <c r="P96" i="7"/>
  <c r="P97" i="7" s="1"/>
  <c r="G96" i="7"/>
  <c r="G97" i="7" s="1"/>
  <c r="F96" i="7"/>
  <c r="F97" i="7" s="1"/>
  <c r="H101" i="8"/>
  <c r="F92" i="8"/>
  <c r="F101" i="8"/>
  <c r="W97" i="8"/>
  <c r="F97" i="8"/>
  <c r="E107" i="5"/>
  <c r="F107" i="5" s="1"/>
  <c r="E108" i="5"/>
  <c r="F108" i="5" s="1"/>
  <c r="E110" i="5"/>
  <c r="F110" i="5" s="1"/>
  <c r="E111" i="5"/>
  <c r="F111" i="5" s="1"/>
  <c r="E106" i="5"/>
  <c r="F106" i="5" s="1"/>
  <c r="E109" i="5"/>
  <c r="F109" i="5" s="1"/>
  <c r="H97" i="7"/>
  <c r="V97" i="7"/>
  <c r="X97" i="7"/>
  <c r="O97" i="7"/>
  <c r="AB100" i="7"/>
  <c r="AA12" i="7"/>
  <c r="AA33" i="7"/>
  <c r="AC100" i="7"/>
  <c r="AB88" i="7"/>
  <c r="AB99" i="7" s="1"/>
  <c r="K95" i="7"/>
  <c r="K96" i="7" s="1"/>
  <c r="S95" i="7"/>
  <c r="S96" i="7" s="1"/>
  <c r="AD100" i="7"/>
  <c r="G88" i="7"/>
  <c r="G99" i="7" s="1"/>
  <c r="L95" i="7"/>
  <c r="T95" i="7"/>
  <c r="M95" i="7"/>
  <c r="M96" i="7" s="1"/>
  <c r="U95" i="7"/>
  <c r="U96" i="7" s="1"/>
  <c r="W87" i="5"/>
  <c r="W98" i="5" s="1"/>
  <c r="O87" i="5"/>
  <c r="O98" i="5" s="1"/>
  <c r="K87" i="5"/>
  <c r="K89" i="5" s="1"/>
  <c r="K91" i="5" s="1"/>
  <c r="S87" i="5"/>
  <c r="S89" i="5" s="1"/>
  <c r="S91" i="5" s="1"/>
  <c r="AA48" i="5"/>
  <c r="AB87" i="5"/>
  <c r="AB98" i="5" s="1"/>
  <c r="AD87" i="5"/>
  <c r="AD98" i="5" s="1"/>
  <c r="AF99" i="5"/>
  <c r="AE99" i="5"/>
  <c r="N87" i="5"/>
  <c r="N89" i="5" s="1"/>
  <c r="N91" i="5" s="1"/>
  <c r="V87" i="5"/>
  <c r="V89" i="5" s="1"/>
  <c r="V91" i="5" s="1"/>
  <c r="AE87" i="5"/>
  <c r="AE98" i="5" s="1"/>
  <c r="H87" i="5"/>
  <c r="H89" i="5" s="1"/>
  <c r="H91" i="5" s="1"/>
  <c r="P87" i="5"/>
  <c r="X87" i="5"/>
  <c r="X89" i="5" s="1"/>
  <c r="X91" i="5" s="1"/>
  <c r="AG87" i="5"/>
  <c r="AG98" i="5" s="1"/>
  <c r="J87" i="5"/>
  <c r="J89" i="5" s="1"/>
  <c r="J91" i="5" s="1"/>
  <c r="R87" i="5"/>
  <c r="R89" i="5" s="1"/>
  <c r="R91" i="5" s="1"/>
  <c r="Z87" i="5"/>
  <c r="Z89" i="5" s="1"/>
  <c r="Z91" i="5" s="1"/>
  <c r="I87" i="5"/>
  <c r="I89" i="5" s="1"/>
  <c r="I91" i="5" s="1"/>
  <c r="Q87" i="5"/>
  <c r="Q89" i="5" s="1"/>
  <c r="Q91" i="5" s="1"/>
  <c r="Y87" i="5"/>
  <c r="Y89" i="5" s="1"/>
  <c r="Y91" i="5" s="1"/>
  <c r="AA17" i="5"/>
  <c r="AC87" i="5"/>
  <c r="AC98" i="5" s="1"/>
  <c r="M87" i="5"/>
  <c r="M89" i="5" s="1"/>
  <c r="M91" i="5" s="1"/>
  <c r="U87" i="5"/>
  <c r="U89" i="5" s="1"/>
  <c r="U91" i="5" s="1"/>
  <c r="L87" i="5"/>
  <c r="T87" i="5"/>
  <c r="T98" i="5" s="1"/>
  <c r="AC99" i="5"/>
  <c r="AA32" i="5"/>
  <c r="AA56" i="5"/>
  <c r="AF87" i="5"/>
  <c r="AF98" i="5" s="1"/>
  <c r="F87" i="5"/>
  <c r="F89" i="5" s="1"/>
  <c r="L94" i="5"/>
  <c r="L95" i="5" s="1"/>
  <c r="O95" i="5"/>
  <c r="AA12" i="5"/>
  <c r="AA85" i="5"/>
  <c r="G87" i="5"/>
  <c r="F94" i="5"/>
  <c r="F95" i="5" s="1"/>
  <c r="N94" i="5"/>
  <c r="N95" i="5" s="1"/>
  <c r="V94" i="5"/>
  <c r="AG99" i="5"/>
  <c r="G96" i="5"/>
  <c r="W96" i="5"/>
  <c r="H94" i="5"/>
  <c r="P94" i="5"/>
  <c r="P95" i="5" s="1"/>
  <c r="X94" i="5"/>
  <c r="I94" i="5"/>
  <c r="I95" i="5" s="1"/>
  <c r="Y94" i="5"/>
  <c r="T95" i="5"/>
  <c r="J94" i="5"/>
  <c r="J95" i="5" s="1"/>
  <c r="R94" i="5"/>
  <c r="R95" i="5" s="1"/>
  <c r="Z94" i="5"/>
  <c r="Z95" i="5" s="1"/>
  <c r="Q94" i="5"/>
  <c r="AB99" i="5"/>
  <c r="K94" i="5"/>
  <c r="S94" i="5"/>
  <c r="AD99" i="5"/>
  <c r="M94" i="5"/>
  <c r="M95" i="5" s="1"/>
  <c r="U94" i="5"/>
  <c r="U95" i="5" s="1"/>
  <c r="C104" i="17" l="1"/>
  <c r="AA9" i="16"/>
  <c r="AA16" i="17"/>
  <c r="AA54" i="14"/>
  <c r="D111" i="14"/>
  <c r="G111" i="14" s="1"/>
  <c r="C104" i="16"/>
  <c r="Q99" i="7"/>
  <c r="D109" i="14"/>
  <c r="G109" i="14" s="1"/>
  <c r="AA30" i="14"/>
  <c r="I99" i="5"/>
  <c r="AC101" i="7"/>
  <c r="T99" i="7"/>
  <c r="Q90" i="7"/>
  <c r="Q92" i="7" s="1"/>
  <c r="D108" i="18"/>
  <c r="G108" i="18" s="1"/>
  <c r="AA16" i="18"/>
  <c r="D110" i="18"/>
  <c r="G110" i="18" s="1"/>
  <c r="AA46" i="18"/>
  <c r="D112" i="18"/>
  <c r="G112" i="18" s="1"/>
  <c r="AA84" i="18"/>
  <c r="D107" i="18"/>
  <c r="AA9" i="18"/>
  <c r="D111" i="13"/>
  <c r="AA54" i="13"/>
  <c r="AA30" i="18"/>
  <c r="D109" i="18"/>
  <c r="D113" i="17"/>
  <c r="D111" i="18"/>
  <c r="G111" i="18" s="1"/>
  <c r="AA54" i="18"/>
  <c r="D112" i="13"/>
  <c r="AA84" i="13"/>
  <c r="D108" i="13"/>
  <c r="G108" i="13" s="1"/>
  <c r="AA16" i="13"/>
  <c r="AA48" i="8"/>
  <c r="AA46" i="8" s="1"/>
  <c r="AA32" i="8"/>
  <c r="AA56" i="8"/>
  <c r="AA9" i="8"/>
  <c r="Z99" i="5"/>
  <c r="L99" i="5"/>
  <c r="V98" i="5"/>
  <c r="W89" i="5"/>
  <c r="W91" i="5" s="1"/>
  <c r="W99" i="5"/>
  <c r="W100" i="5" s="1"/>
  <c r="O99" i="5"/>
  <c r="O100" i="5" s="1"/>
  <c r="O89" i="5"/>
  <c r="O91" i="5" s="1"/>
  <c r="U99" i="5"/>
  <c r="C104" i="18"/>
  <c r="G107" i="17"/>
  <c r="G113" i="17"/>
  <c r="AA46" i="16"/>
  <c r="D110" i="16"/>
  <c r="G110" i="16" s="1"/>
  <c r="AA30" i="16"/>
  <c r="D109" i="16"/>
  <c r="D108" i="15"/>
  <c r="G108" i="15" s="1"/>
  <c r="AA16" i="15"/>
  <c r="AA30" i="15"/>
  <c r="D109" i="15"/>
  <c r="G109" i="15" s="1"/>
  <c r="D111" i="15"/>
  <c r="G111" i="15" s="1"/>
  <c r="AA54" i="15"/>
  <c r="D107" i="15"/>
  <c r="C104" i="15"/>
  <c r="AA9" i="15"/>
  <c r="D112" i="15"/>
  <c r="G112" i="15" s="1"/>
  <c r="AA46" i="15"/>
  <c r="D110" i="15"/>
  <c r="G110" i="15" s="1"/>
  <c r="G108" i="14"/>
  <c r="X100" i="7"/>
  <c r="X101" i="7" s="1"/>
  <c r="J100" i="7"/>
  <c r="X90" i="7"/>
  <c r="X92" i="7" s="1"/>
  <c r="G107" i="13"/>
  <c r="G112" i="13"/>
  <c r="G111" i="13"/>
  <c r="C104" i="13"/>
  <c r="G107" i="12"/>
  <c r="D113" i="12"/>
  <c r="J99" i="7"/>
  <c r="AE101" i="7"/>
  <c r="M100" i="7"/>
  <c r="O100" i="7"/>
  <c r="O101" i="7" s="1"/>
  <c r="L99" i="7"/>
  <c r="AD101" i="7"/>
  <c r="R99" i="7"/>
  <c r="W90" i="7"/>
  <c r="W92" i="7" s="1"/>
  <c r="W100" i="7"/>
  <c r="W101" i="7" s="1"/>
  <c r="AF101" i="7"/>
  <c r="N100" i="7"/>
  <c r="I96" i="7"/>
  <c r="I100" i="7" s="1"/>
  <c r="F100" i="7"/>
  <c r="AG101" i="7"/>
  <c r="I99" i="7"/>
  <c r="Y99" i="7"/>
  <c r="M99" i="7"/>
  <c r="Z90" i="7"/>
  <c r="Z92" i="7" s="1"/>
  <c r="N90" i="7"/>
  <c r="N92" i="7" s="1"/>
  <c r="V100" i="7"/>
  <c r="V101" i="7" s="1"/>
  <c r="Z99" i="7"/>
  <c r="Z101" i="7" s="1"/>
  <c r="L96" i="7"/>
  <c r="L100" i="7" s="1"/>
  <c r="N99" i="7"/>
  <c r="O90" i="7"/>
  <c r="O92" i="7" s="1"/>
  <c r="P100" i="7"/>
  <c r="Y100" i="7"/>
  <c r="K100" i="7"/>
  <c r="R96" i="7"/>
  <c r="R100" i="7" s="1"/>
  <c r="S100" i="7"/>
  <c r="P99" i="7"/>
  <c r="P90" i="7"/>
  <c r="P92" i="7" s="1"/>
  <c r="H90" i="7"/>
  <c r="H92" i="7" s="1"/>
  <c r="H99" i="7"/>
  <c r="H101" i="7" s="1"/>
  <c r="F90" i="7"/>
  <c r="F92" i="7" s="1"/>
  <c r="Q101" i="7"/>
  <c r="F99" i="7"/>
  <c r="V90" i="7"/>
  <c r="V92" i="7" s="1"/>
  <c r="M97" i="7"/>
  <c r="AA17" i="7" s="1"/>
  <c r="AA48" i="7"/>
  <c r="D110" i="7" s="1"/>
  <c r="AA11" i="7"/>
  <c r="G107" i="8"/>
  <c r="AA85" i="8"/>
  <c r="AA17" i="8"/>
  <c r="AD100" i="5"/>
  <c r="X98" i="5"/>
  <c r="U100" i="7"/>
  <c r="U97" i="7"/>
  <c r="T96" i="7"/>
  <c r="T100" i="7" s="1"/>
  <c r="U99" i="7"/>
  <c r="K99" i="7"/>
  <c r="G90" i="7"/>
  <c r="G92" i="7" s="1"/>
  <c r="E113" i="7"/>
  <c r="F113" i="7"/>
  <c r="S97" i="7"/>
  <c r="S99" i="7"/>
  <c r="K97" i="7"/>
  <c r="AB101" i="7"/>
  <c r="AA56" i="7"/>
  <c r="G100" i="7"/>
  <c r="S98" i="5"/>
  <c r="M99" i="5"/>
  <c r="P98" i="5"/>
  <c r="L98" i="5"/>
  <c r="L100" i="5" s="1"/>
  <c r="AE100" i="5"/>
  <c r="R99" i="5"/>
  <c r="N99" i="5"/>
  <c r="F99" i="5"/>
  <c r="U98" i="5"/>
  <c r="AF100" i="5"/>
  <c r="H98" i="5"/>
  <c r="T99" i="5"/>
  <c r="T100" i="5" s="1"/>
  <c r="L89" i="5"/>
  <c r="L91" i="5" s="1"/>
  <c r="T89" i="5"/>
  <c r="T91" i="5" s="1"/>
  <c r="AC100" i="5"/>
  <c r="U96" i="5"/>
  <c r="J99" i="5"/>
  <c r="X95" i="5"/>
  <c r="X99" i="5" s="1"/>
  <c r="N98" i="5"/>
  <c r="F98" i="5"/>
  <c r="AG100" i="5"/>
  <c r="P89" i="5"/>
  <c r="P91" i="5" s="1"/>
  <c r="P99" i="5"/>
  <c r="P96" i="5"/>
  <c r="L96" i="5"/>
  <c r="S95" i="5"/>
  <c r="S99" i="5" s="1"/>
  <c r="V95" i="5"/>
  <c r="V99" i="5" s="1"/>
  <c r="V100" i="5" s="1"/>
  <c r="J96" i="5"/>
  <c r="K98" i="5"/>
  <c r="K95" i="5"/>
  <c r="K99" i="5" s="1"/>
  <c r="N96" i="5"/>
  <c r="G98" i="5"/>
  <c r="G89" i="5"/>
  <c r="G91" i="5" s="1"/>
  <c r="Z96" i="5"/>
  <c r="J98" i="5"/>
  <c r="Y98" i="5"/>
  <c r="H95" i="5"/>
  <c r="F91" i="5"/>
  <c r="M96" i="5"/>
  <c r="F96" i="5"/>
  <c r="M98" i="5"/>
  <c r="G99" i="5"/>
  <c r="I98" i="5"/>
  <c r="I100" i="5" s="1"/>
  <c r="R96" i="5"/>
  <c r="Y95" i="5"/>
  <c r="Y99" i="5" s="1"/>
  <c r="R98" i="5"/>
  <c r="AB100" i="5"/>
  <c r="Z98" i="5"/>
  <c r="Z100" i="5" s="1"/>
  <c r="F112" i="5"/>
  <c r="E112" i="5"/>
  <c r="Q95" i="5"/>
  <c r="Q99" i="5" s="1"/>
  <c r="I96" i="5"/>
  <c r="T96" i="5"/>
  <c r="O96" i="5"/>
  <c r="Q98" i="5"/>
  <c r="D103" i="5" l="1"/>
  <c r="D113" i="14"/>
  <c r="G113" i="14" s="1"/>
  <c r="J101" i="7"/>
  <c r="G113" i="12"/>
  <c r="U113" i="12"/>
  <c r="W113" i="12" s="1"/>
  <c r="D104" i="7"/>
  <c r="D111" i="8"/>
  <c r="G111" i="8" s="1"/>
  <c r="AA54" i="8"/>
  <c r="D113" i="18"/>
  <c r="G113" i="18" s="1"/>
  <c r="D112" i="8"/>
  <c r="G112" i="8" s="1"/>
  <c r="AA84" i="8"/>
  <c r="G109" i="18"/>
  <c r="AA16" i="8"/>
  <c r="D108" i="8"/>
  <c r="AA30" i="8"/>
  <c r="D109" i="8"/>
  <c r="G109" i="8" s="1"/>
  <c r="D110" i="8"/>
  <c r="G110" i="8" s="1"/>
  <c r="U100" i="5"/>
  <c r="F100" i="5"/>
  <c r="M100" i="5"/>
  <c r="S100" i="5"/>
  <c r="X100" i="5"/>
  <c r="G107" i="18"/>
  <c r="G109" i="16"/>
  <c r="D113" i="16"/>
  <c r="G107" i="15"/>
  <c r="D113" i="15"/>
  <c r="D113" i="13"/>
  <c r="S101" i="7"/>
  <c r="L101" i="7"/>
  <c r="F101" i="7"/>
  <c r="M101" i="7"/>
  <c r="R101" i="7"/>
  <c r="AA54" i="7"/>
  <c r="D111" i="7"/>
  <c r="G111" i="7" s="1"/>
  <c r="AA16" i="7"/>
  <c r="D108" i="7"/>
  <c r="G108" i="7" s="1"/>
  <c r="N101" i="7"/>
  <c r="I101" i="7"/>
  <c r="AA9" i="7"/>
  <c r="D107" i="7"/>
  <c r="G107" i="7" s="1"/>
  <c r="G110" i="7"/>
  <c r="AA46" i="7"/>
  <c r="Y101" i="7"/>
  <c r="I97" i="7"/>
  <c r="K101" i="7"/>
  <c r="R97" i="7"/>
  <c r="L97" i="7"/>
  <c r="AA32" i="7" s="1"/>
  <c r="P101" i="7"/>
  <c r="U101" i="7"/>
  <c r="C104" i="8"/>
  <c r="P100" i="5"/>
  <c r="T101" i="7"/>
  <c r="T97" i="7"/>
  <c r="G101" i="7"/>
  <c r="R100" i="5"/>
  <c r="N100" i="5"/>
  <c r="G100" i="5"/>
  <c r="Q100" i="5"/>
  <c r="K96" i="5"/>
  <c r="J100" i="5"/>
  <c r="X96" i="5"/>
  <c r="AA11" i="5" s="1"/>
  <c r="V96" i="5"/>
  <c r="S96" i="5"/>
  <c r="H99" i="5"/>
  <c r="H96" i="5"/>
  <c r="Q96" i="5"/>
  <c r="Y100" i="5"/>
  <c r="K100" i="5"/>
  <c r="Y96" i="5"/>
  <c r="G113" i="16" l="1"/>
  <c r="G113" i="15"/>
  <c r="G113" i="13"/>
  <c r="AA85" i="7"/>
  <c r="C104" i="7" s="1"/>
  <c r="AA30" i="7"/>
  <c r="D109" i="7"/>
  <c r="G109" i="7" s="1"/>
  <c r="G108" i="8"/>
  <c r="D113" i="8"/>
  <c r="AA31" i="5"/>
  <c r="D108" i="5" s="1"/>
  <c r="G108" i="5" s="1"/>
  <c r="D106" i="5"/>
  <c r="G106" i="5" s="1"/>
  <c r="AA9" i="5"/>
  <c r="AA84" i="5"/>
  <c r="AA47" i="5"/>
  <c r="AA16" i="5"/>
  <c r="AA55" i="5"/>
  <c r="AA53" i="5" s="1"/>
  <c r="H100" i="5"/>
  <c r="C103" i="5" l="1"/>
  <c r="D112" i="7"/>
  <c r="D113" i="7" s="1"/>
  <c r="G113" i="8"/>
  <c r="AA84" i="7"/>
  <c r="AA29" i="5"/>
  <c r="AA83" i="5"/>
  <c r="D111" i="5"/>
  <c r="G111" i="5" s="1"/>
  <c r="D110" i="5"/>
  <c r="G110" i="5" s="1"/>
  <c r="AA15" i="5"/>
  <c r="D107" i="5"/>
  <c r="G107" i="5" s="1"/>
  <c r="D109" i="5"/>
  <c r="AA45" i="5"/>
  <c r="G112" i="7" l="1"/>
  <c r="G113" i="7"/>
  <c r="G109" i="5"/>
  <c r="D112" i="5"/>
  <c r="G112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Cesar Andres Manrique Grimaldos</author>
  </authors>
  <commentList>
    <comment ref="AF5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Cesar Andres Manrique Grimaldos:</t>
        </r>
        <r>
          <rPr>
            <sz val="9"/>
            <color indexed="81"/>
            <rFont val="Tahoma"/>
            <family val="2"/>
          </rPr>
          <t xml:space="preserve">
PENDIENTE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tc={7DB4D1F7-5CA1-437A-BEFE-0087DAD39B73}</author>
  </authors>
  <commentList>
    <comment ref="AF15" authorId="0" shapeId="0" xr:uid="{00000000-0006-0000-0100-000001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Un rack-gabinete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tc={7DB4D1F7-5CA1-437B-BEFE-0087DAD39B73}</author>
  </authors>
  <commentList>
    <comment ref="AF15" authorId="0" shapeId="0" xr:uid="{00000000-0006-0000-0200-000001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Un rack-gabinete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tc={7DB4D1F7-5CA1-437C-BEFE-0087DAD39B73}</author>
  </authors>
  <commentList>
    <comment ref="AF15" authorId="0" shapeId="0" xr:uid="{00000000-0006-0000-0300-000001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Un rack-gabinete</t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tc={7DB4D1F7-5CA1-437F-BEFE-0087DAD39B73}</author>
  </authors>
  <commentList>
    <comment ref="AF15" authorId="0" shapeId="0" xr:uid="{00000000-0006-0000-0900-000001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Un rack-gabinete</t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tc={7DB4D1F7-5CA1-4381-BEFE-0087DAD39B73}</author>
  </authors>
  <commentList>
    <comment ref="AF15" authorId="0" shapeId="0" xr:uid="{00000000-0006-0000-0A00-000001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Un rack-gabinete</t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tc={7DB4D1F7-5CA1-4382-BEFE-0087DAD39B73}</author>
  </authors>
  <commentList>
    <comment ref="AF15" authorId="0" shapeId="0" xr:uid="{00000000-0006-0000-0B00-000001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Un rack-gabinete</t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tc={7DB4D1F7-5CA1-4383-BEFE-0087DAD39B73}</author>
  </authors>
  <commentList>
    <comment ref="AF15" authorId="0" shapeId="0" xr:uid="{00000000-0006-0000-0C00-000001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Un rack-gabinete</t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tc={7DB4D1F7-5CA1-4380-BEFE-0087DAD39B73}</author>
  </authors>
  <commentList>
    <comment ref="AF15" authorId="0" shapeId="0" xr:uid="{00000000-0006-0000-0D00-000001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Un rack-gabinete</t>
      </text>
    </comment>
  </commentList>
</comments>
</file>

<file path=xl/sharedStrings.xml><?xml version="1.0" encoding="utf-8"?>
<sst xmlns="http://schemas.openxmlformats.org/spreadsheetml/2006/main" count="5320" uniqueCount="208">
  <si>
    <t>REGIONAL</t>
  </si>
  <si>
    <t>CENTRO</t>
  </si>
  <si>
    <t xml:space="preserve">DIRECCIÓN </t>
  </si>
  <si>
    <t>MUNICIPIO</t>
  </si>
  <si>
    <t>PUESTO 24 HORAS TODOS LOS DÍAS CON ARMA</t>
  </si>
  <si>
    <t>PUESTO 24 HORAS TODOS LOS DÍAS SIN ARMA</t>
  </si>
  <si>
    <t>PUESTO 24 HORAS MONITOREO</t>
  </si>
  <si>
    <t>PUESTO 24 HORAS TODOS LOS DÍAS CON CANINO</t>
  </si>
  <si>
    <t>PUESTO 24 HORAS LUNES A VIERNES SIN ARMA</t>
  </si>
  <si>
    <t>PUESTO 24 HORAS LUNES A SABADO SIN ARMA</t>
  </si>
  <si>
    <t>PUESTO 16 HORAS(15 DIURNAS y 1 NOCTURNA) TODOS LOS DÍAS SIN ARMA</t>
  </si>
  <si>
    <t>PUESTO 16 HORAS (15 DIURNAS y 1 NOCTURNA) LUNES A VIERNES NO INCLUYE FESTIVOS SIN ARMA</t>
  </si>
  <si>
    <t>PUESTO 16 HORAS (15 DIURNAS y 1 NOCTURNA) LUNES A SÁBADO NO INCLUYE FESTIVOS SIN ARMA</t>
  </si>
  <si>
    <t>PUESTO 12 HORAS DIURNAS TODOS LOS DÍAS SIN ARMA</t>
  </si>
  <si>
    <t>PUESTO 12 HORAS DIURNAS LUNES A VIERNES NO INCLUYE FESTIVOS SIN ARMA</t>
  </si>
  <si>
    <t>PUESTO 12 HORAS DIURNAS LUNES A SÁBADO NO INCLUYE FESTIVOS SIN ARMA</t>
  </si>
  <si>
    <t>PUESTO 12 HORAS (9 NOCTURNAS Y 3 DIURNAS) TODOS LOS DIAS SIN ARMA</t>
  </si>
  <si>
    <t>PUESTO 12 HORAS (9 NOCTURNAS Y 3 DIURNAS)LUNES A SABADO SIN FESTIVO SIN ARMA</t>
  </si>
  <si>
    <t>PUESTO 12 HORAS (9 NOCTURNAS Y 3 DIURNAS) TODOS LOS DIAS CON ARMA</t>
  </si>
  <si>
    <t>PUESTO 8 HORAS NOCTURNAS TODOS LOS DÍAS CON ARMA</t>
  </si>
  <si>
    <t>PUESTO 8 HORAS NOCTURNAS TODOS LOS DÍAS SIN ARMA</t>
  </si>
  <si>
    <t>PUESTO 8 HORAS NOCTURNAS LUNES A VIERNES SIN FESTIVOS SIN ARMA</t>
  </si>
  <si>
    <t>PUESTO 8 HORAS DIURNAS LUNES A SÁBADO NO INCLUYE FESTIVOS SIN ARMA</t>
  </si>
  <si>
    <t>PUESTO 8 HORAS DIURNAS LUNES A VIERNES NO INCLUYE FESTIVOS SIN ARMA</t>
  </si>
  <si>
    <t>PUESTO 8 HORAS DIURNAS TODOS LOS DIAS SIN ARMA</t>
  </si>
  <si>
    <t>TOTALIDAD PUESTOS INSTALADOS</t>
  </si>
  <si>
    <t>Cámara tipo mini domo</t>
  </si>
  <si>
    <t>Cámara PTZ</t>
  </si>
  <si>
    <t>DVR</t>
  </si>
  <si>
    <t>Monitor</t>
  </si>
  <si>
    <t>Control de visitantes y de bienes (para Regionales)</t>
  </si>
  <si>
    <t>Alarma</t>
  </si>
  <si>
    <t xml:space="preserve">ARAUCA </t>
  </si>
  <si>
    <t>Despacho Dirección</t>
  </si>
  <si>
    <t>Centro de Gestión y Desarrollo Agroindustrial</t>
  </si>
  <si>
    <t>Arauca</t>
  </si>
  <si>
    <t>Arauquita</t>
  </si>
  <si>
    <t xml:space="preserve">Saravena </t>
  </si>
  <si>
    <t>INCORA</t>
  </si>
  <si>
    <t>Centro Poblado - Puerto Jordan</t>
  </si>
  <si>
    <t>Tame</t>
  </si>
  <si>
    <t>REGIONAL ARAUCA</t>
  </si>
  <si>
    <t>CASANARE</t>
  </si>
  <si>
    <t xml:space="preserve">Despacho Dirección </t>
  </si>
  <si>
    <t xml:space="preserve">Centro Agroindustrial y Fortalecimiento Empresarial </t>
  </si>
  <si>
    <t>Yopal</t>
  </si>
  <si>
    <t>Centro Agroindustrial y Fortalecimiento Empresarial (EDIFICIO 3 NIVELES YOPAL)</t>
  </si>
  <si>
    <t>Paz de Ariporo</t>
  </si>
  <si>
    <t>Monterrey</t>
  </si>
  <si>
    <t>REGIONAL CASANARE</t>
  </si>
  <si>
    <t>BOYACÁ</t>
  </si>
  <si>
    <t>Centro Minero</t>
  </si>
  <si>
    <t>Sogamoso</t>
  </si>
  <si>
    <t>Km 7 Vereda Morcá Sector Bata</t>
  </si>
  <si>
    <t xml:space="preserve">Centro de Desarrollo Agropecuario y Agroindustrial </t>
  </si>
  <si>
    <t>Centro de Gestión Administrativa y Fortalecimiento Empresarial</t>
  </si>
  <si>
    <t>Tunja</t>
  </si>
  <si>
    <t xml:space="preserve">Centro de Gestión Administrativa y Fortalecimiento Empresarial </t>
  </si>
  <si>
    <t>REGIONAL BOYACÁ</t>
  </si>
  <si>
    <t>NORTE DE SANTANDER</t>
  </si>
  <si>
    <t xml:space="preserve">Calle 2N Avenidas 4 y 5 Pescadero </t>
  </si>
  <si>
    <t>Cúcuta</t>
  </si>
  <si>
    <t>Calle 2N Avenidas 4 y 5 Pescadero (administrativo)</t>
  </si>
  <si>
    <t>Calle 2N Avenidas 4 y 5 Pescadero (Parqueaderos)</t>
  </si>
  <si>
    <t>Calle 2N Avenidas 4 y 5 Pescadero (Cancha de Futobol y Gimnasio)</t>
  </si>
  <si>
    <t xml:space="preserve"> Calle 2N Avenidas 4 y 5 Pescadero (Punto de Atencion al Ciudadano)</t>
  </si>
  <si>
    <t xml:space="preserve">Centro de la Indústria, la Empresa y los Servicios </t>
  </si>
  <si>
    <t>Calle 2N Avenidas 4 y 5 Pescadero (industria)</t>
  </si>
  <si>
    <t>Calle 2N Avenidas 4 y 5 Pescadero (formacion)</t>
  </si>
  <si>
    <t>Avenida 5 Calle 18 A Prados del Norte (calzado)</t>
  </si>
  <si>
    <t>Ocaña</t>
  </si>
  <si>
    <t xml:space="preserve">Pamplona </t>
  </si>
  <si>
    <t>AV 10 CALLE 29 29 06 barrio patio centro</t>
  </si>
  <si>
    <t>Los Patios</t>
  </si>
  <si>
    <t xml:space="preserve"> REGIONAL NORTE SANTANDER</t>
  </si>
  <si>
    <t>META</t>
  </si>
  <si>
    <t>CARRERA 12 A No. 24 A- 03/33 Sede Popular</t>
  </si>
  <si>
    <t>REGIONAL META</t>
  </si>
  <si>
    <t>SANTANDER</t>
  </si>
  <si>
    <t xml:space="preserve">Centro de Servicios Empresariales y Turísticos </t>
  </si>
  <si>
    <t>Calle 45 No. 11-12 Antiguo Hospital San Juan de Dios Sede Salud</t>
  </si>
  <si>
    <t>Centro de Atención Sector Agropecuario</t>
  </si>
  <si>
    <t>Km 2 Vía Palogordo - Vereda Guaitaguará</t>
  </si>
  <si>
    <t xml:space="preserve">Centro de Atención Sector Agropecuario  </t>
  </si>
  <si>
    <t>Centro Industrial de Mantenimiento Integral</t>
  </si>
  <si>
    <t>Km. 7 Vía Rincón de Girón</t>
  </si>
  <si>
    <t>Sede Social</t>
  </si>
  <si>
    <t xml:space="preserve">Centro Industrial de Diseño y Manufactura </t>
  </si>
  <si>
    <t>Autopista Floridablanca Km 6 No. 55-33.</t>
  </si>
  <si>
    <t xml:space="preserve">Centro Agroturístico </t>
  </si>
  <si>
    <t>Centro Agroempresarial y Turístico de los Andes</t>
  </si>
  <si>
    <t xml:space="preserve">Centro Agroempresarial y Turístico de los Andes </t>
  </si>
  <si>
    <t>Carrera 6 No. 8-47.</t>
  </si>
  <si>
    <t>Centro de Gestión Agroempresarial del Oriente</t>
  </si>
  <si>
    <t>Puente Nacional Escuela Primero de Mayo, Calle 10a N° 3-81</t>
  </si>
  <si>
    <t>Centro Industrial y de Desarrollo Tecnológico</t>
  </si>
  <si>
    <t>REGIONAL SANTANDER</t>
  </si>
  <si>
    <t>Total Puesto Vigilancia Zona 2</t>
  </si>
  <si>
    <t>No. De Guardas por turno</t>
  </si>
  <si>
    <t>No. De Guardas Total</t>
  </si>
  <si>
    <t>Valor seguro de vida por guarda</t>
  </si>
  <si>
    <t>Valor total seguro de vida por turno</t>
  </si>
  <si>
    <t xml:space="preserve">TARIFAS </t>
  </si>
  <si>
    <t>AYS</t>
  </si>
  <si>
    <t>IVA</t>
  </si>
  <si>
    <t>TOTAL</t>
  </si>
  <si>
    <t>SUB TOTAL</t>
  </si>
  <si>
    <t>IVA TOTAL</t>
  </si>
  <si>
    <t>TOTAL COSTO MENSUAL PUESTOS</t>
  </si>
  <si>
    <t>TOTAL COSTO MENSUAL MEDIOS TECNOLÓGICOS</t>
  </si>
  <si>
    <t>TOTAL COSTO PUESTOS 2025</t>
  </si>
  <si>
    <t>TOTAL COSTO MEDIO TECNOLÓGICO</t>
  </si>
  <si>
    <t xml:space="preserve">VALOR TOTAL </t>
  </si>
  <si>
    <t>ARAUCA</t>
  </si>
  <si>
    <t>NORTE SANTANDER</t>
  </si>
  <si>
    <t>TOTAL ZONA 2</t>
  </si>
  <si>
    <t>Málaga</t>
  </si>
  <si>
    <t xml:space="preserve">Málaga </t>
  </si>
  <si>
    <t>Socorro</t>
  </si>
  <si>
    <t>Bucaramanga</t>
  </si>
  <si>
    <t>San Gil</t>
  </si>
  <si>
    <t>Duitama</t>
  </si>
  <si>
    <t>Barbosa</t>
  </si>
  <si>
    <t>Chiquinquirá</t>
  </si>
  <si>
    <t>Sutamarchán</t>
  </si>
  <si>
    <t>Moniquirá</t>
  </si>
  <si>
    <t>Villa de Leyva</t>
  </si>
  <si>
    <t>Zulia</t>
  </si>
  <si>
    <t>Villavicencio</t>
  </si>
  <si>
    <t>Granada</t>
  </si>
  <si>
    <t>Piedecuesta</t>
  </si>
  <si>
    <t>El Playón</t>
  </si>
  <si>
    <t>Girón</t>
  </si>
  <si>
    <t>Floridablanca</t>
  </si>
  <si>
    <t>Soatá</t>
  </si>
  <si>
    <t>Vélez</t>
  </si>
  <si>
    <t>Cimitarra</t>
  </si>
  <si>
    <t>Puente Nacional</t>
  </si>
  <si>
    <t>Barrancabermeja</t>
  </si>
  <si>
    <t>Calle 4 No. 16A-85</t>
  </si>
  <si>
    <t>Sede Deportiva</t>
  </si>
  <si>
    <t>Playón Km. 49 Vía al Mar
Sede Aguas Calientes</t>
  </si>
  <si>
    <t>Maquinaria Amarilla</t>
  </si>
  <si>
    <t>Finca Pozo Negro (Villa Luz)</t>
  </si>
  <si>
    <t>Vereda Campo Alegre Mundo Nuevo 1 y Mundo Nuevo 2. Granja El Alcaravan en Arauquita</t>
  </si>
  <si>
    <t>Campo de Entrenamiento para Sistemas Solares Fotovoltaicos</t>
  </si>
  <si>
    <t xml:space="preserve">Sector Buganviles Vereda Bella Vista </t>
  </si>
  <si>
    <t>ICA KM 2 Granja Surbatá</t>
  </si>
  <si>
    <t>Finca La Capellanía</t>
  </si>
  <si>
    <t>Cra 8 No. 15-02</t>
  </si>
  <si>
    <t>Calle 24 No. 19-17 
Barrio Córdoba (APE)</t>
  </si>
  <si>
    <t>Carrera 20 No. 28 - 163</t>
  </si>
  <si>
    <t>Zona Veredal El Muece</t>
  </si>
  <si>
    <t>Cra 8 No. 14-68</t>
  </si>
  <si>
    <t>Verede San Lorenzo de Abajo, Cedeagro. Kilómetro 1 Vía Duitma-Pantano de Vargas</t>
  </si>
  <si>
    <t>Centro de Formación para el Desarrollo Rural y Minero</t>
  </si>
  <si>
    <t>km 13 Vía Puerto López 
Sede Taladro</t>
  </si>
  <si>
    <t>Km 17 Vía Puerto López. Finca El Hachón - Vereda Bella Suiza. Sede Hachón</t>
  </si>
  <si>
    <t xml:space="preserve">Km 13 Via San Juan de Arama Sede Los Naranjos </t>
  </si>
  <si>
    <t>Puerto Gaitán</t>
  </si>
  <si>
    <t>Calle 16 No. 27 - 37</t>
  </si>
  <si>
    <t>Carrera 27 No. 15-07
Sede Coliseo</t>
  </si>
  <si>
    <t>Carrera 27 No. 15-07
Sede Nueva</t>
  </si>
  <si>
    <t>Carrera 27No. 15-07 Sede Parqueaderos</t>
  </si>
  <si>
    <t>Cra. 27 No 20-45 APE</t>
  </si>
  <si>
    <t>Diagonal 25 Sur No. 22-60  
Sede Biblioteca Tecnoacademia</t>
  </si>
  <si>
    <t>Vereda Calichal
Sede Granja los Andes</t>
  </si>
  <si>
    <t>Transversal 8 No. 8a-50</t>
  </si>
  <si>
    <t>Calle 54 No. 36e - 82 
Barrio Primero de Mayo</t>
  </si>
  <si>
    <t>Centro Agroindustrial del Meta</t>
  </si>
  <si>
    <t>Vía Matadero Puerto Gaitán
Sede Puerto Gaitán</t>
  </si>
  <si>
    <t>Carrera 7 No. 16-40  
Sede Antiguo Terminal</t>
  </si>
  <si>
    <t>Avenida Canal de Bogotá 
Barrio Pescadero (Tecnoparque)</t>
  </si>
  <si>
    <t>El Zulia-Santiago No. 72</t>
  </si>
  <si>
    <t>Calle 16 No 14 – 52
Sede Urbana</t>
  </si>
  <si>
    <t>Calle 22 No. 9 - 82</t>
  </si>
  <si>
    <t>Calle 16 No. 14 - 28</t>
  </si>
  <si>
    <t>Carrera 11 No. 13 - 13 
Barrio Ricaurte</t>
  </si>
  <si>
    <t>Carrera 1 E No.1 -30 
Barrio Piquetierra Escuela de Gastronomía</t>
  </si>
  <si>
    <t>Carrera 16 No. 28 - 11 
Barrio 6 de Octubre</t>
  </si>
  <si>
    <t>Calle 15 No. 37 - 155 
Barrio la Libertad</t>
  </si>
  <si>
    <t>Carrera 19 No. 36 - 68</t>
  </si>
  <si>
    <t>Carrera 12 No. 55 A 51</t>
  </si>
  <si>
    <t xml:space="preserve">Carrera 3 A No.  4 - 75
Ciudadela Industrial </t>
  </si>
  <si>
    <t>Calle 19 No. 12 - 29</t>
  </si>
  <si>
    <t>Carrera 1a No. 67 - 110 
Sede Gastronomía</t>
  </si>
  <si>
    <t>Carrera 9 No. 28 - 34 APE</t>
  </si>
  <si>
    <t>Carrera 3 No. 16 - 02 
Sede Moniquirá</t>
  </si>
  <si>
    <t>Calle 3 No. 6 - 48 Comuneros Sede Comuneros Atalaya</t>
  </si>
  <si>
    <t>Calle 12 No. 10 - 40 Barrio El Tamaco</t>
  </si>
  <si>
    <t>Carrera 5 No. 4 - 18 Sede Casa de las Cajas Reales</t>
  </si>
  <si>
    <t>Carrera 9 No. 3 - 120  El Terminal</t>
  </si>
  <si>
    <t>Calle 48 No. 28-34 Sede Tecnoparque, Edificio Antiguo Ecopetrol</t>
  </si>
  <si>
    <t>Carrera 28 No. 56 - 10 
Barrio Galán</t>
  </si>
  <si>
    <t>Carrera 5 entre Calle 10 y 11</t>
  </si>
  <si>
    <t>Centro Industrial de Mantenimiento y Manufactura</t>
  </si>
  <si>
    <t>Kilómetro 1 Vía Acacías. 
Sede Guayubira</t>
  </si>
  <si>
    <t>Sabana de Torres</t>
  </si>
  <si>
    <t xml:space="preserve">Centro de Industria y Servicios del Meta </t>
  </si>
  <si>
    <t>Calle 10 No. 8-29 / Local 2 
Antiguo Teatro, Sede Gimnasio</t>
  </si>
  <si>
    <t>TOTAL FACTURACIÓN</t>
  </si>
  <si>
    <t>TOTAL COSTO PUESTOS</t>
  </si>
  <si>
    <t>TOTAL COSTO PUESTOS 2026</t>
  </si>
  <si>
    <t>MEDIO TECNOLÓGICO  INCREMENTO IPC 5,20%</t>
  </si>
  <si>
    <t>MEDIO TECNOLÓGICO  INCREMENTO IPC 5,10%</t>
  </si>
  <si>
    <t>PUESTO 16 HORAS (13 DIURNAS y 3 NOCTURNA) TODOS LOS DÍAS SIN ARMA</t>
  </si>
  <si>
    <t>PUESTO 16 HORAS (13 DIURNAS y 3 NOCTURNA) LUNES A VIERNES NO INCLUYE FESTIVOS SIN ARMA</t>
  </si>
  <si>
    <t>30 DIAS DE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</si>
</sst>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8" formatCode="&quot;$&quot;\ #,##0.00;[Red]\-&quot;$&quot;\ #,##0.0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(* #,##0.0_);_(* \(#,##0.0\);_(* &quot;-&quot;??_);_(@_)"/>
    <numFmt numFmtId="167" formatCode="&quot;$&quot;\ #,##0"/>
    <numFmt numFmtId="168" formatCode="_-* #,##0_-;\-* #,##0_-;_-* &quot;-&quot;??_-;_-@_-"/>
    <numFmt numFmtId="169" formatCode="&quot;$&quot;\ #,##0.00"/>
    <numFmt numFmtId="170" formatCode="_(* #,##0.000_);_(* \(#,##0.000\);_(* &quot;-&quot;??_);_(@_)"/>
    <numFmt numFmtId="171" formatCode="_(* #,##0.0000_);_(* \(#,##0.0000\);_(* &quot;-&quot;??_);_(@_)"/>
    <numFmt numFmtId="172" formatCode="_-* #,##0.000_-;\-* #,##0.000_-;_-* &quot;-&quot;_-;_-@_-"/>
    <numFmt numFmtId="173" formatCode="_-* #,##0.000_-;\-* #,##0.000_-;_-* &quot;-&quot;???_-;_-@_-"/>
    <numFmt numFmtId="174" formatCode="_-* #,##0.00_-;\-* #,##0.00_-;_-* &quot;-&quot;_-;_-@_-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b/>
      <sz val="10"/>
      <color theme="1"/>
      <name val="Arial Narrow"/>
      <family val="2"/>
    </font>
    <font>
      <b/>
      <sz val="10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 val="singleAccounting"/>
      <sz val="10"/>
      <name val="Arial"/>
      <family val="2"/>
    </font>
    <font>
      <b/>
      <u val="singleAccounting"/>
      <sz val="10"/>
      <color theme="1"/>
      <name val="Arial"/>
      <family val="2"/>
    </font>
    <font>
      <b/>
      <u val="singleAccounting"/>
      <sz val="11"/>
      <color theme="1"/>
      <name val="Arial"/>
      <family val="2"/>
    </font>
    <font>
      <b/>
      <i/>
      <u val="singleAccounting"/>
      <sz val="14"/>
      <color theme="1"/>
      <name val="Arial Narrow"/>
      <family val="2"/>
    </font>
    <font>
      <b/>
      <u val="singleAccounting"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u/>
      <sz val="11"/>
      <color theme="1"/>
      <name val="Arial Narrow"/>
      <family val="2"/>
    </font>
    <font>
      <b/>
      <u/>
      <sz val="12"/>
      <color theme="1"/>
      <name val="Arial Narrow"/>
      <family val="2"/>
    </font>
    <font>
      <b/>
      <u val="singleAccounting"/>
      <sz val="11"/>
      <name val="Arial"/>
      <family val="2"/>
    </font>
    <font>
      <b/>
      <u/>
      <sz val="11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9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12"/>
      <color theme="1"/>
      <name val="Arial Narrow"/>
      <family val="2"/>
    </font>
    <font>
      <b/>
      <sz val="10"/>
      <color rgb="FFFF000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66">
    <xf numFmtId="0" fontId="0" fillId="0" borderId="0" xfId="0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0" xfId="5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5" applyFont="1" applyAlignment="1">
      <alignment horizontal="center" vertical="center" wrapText="1"/>
    </xf>
    <xf numFmtId="166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165" fontId="7" fillId="0" borderId="0" xfId="1" applyNumberFormat="1" applyFont="1" applyAlignment="1">
      <alignment horizontal="center" vertical="center"/>
    </xf>
    <xf numFmtId="167" fontId="7" fillId="0" borderId="0" xfId="0" applyNumberFormat="1" applyFont="1" applyAlignment="1">
      <alignment horizontal="center" vertical="center"/>
    </xf>
    <xf numFmtId="167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44" fontId="9" fillId="0" borderId="0" xfId="2" applyFont="1" applyFill="1" applyBorder="1" applyAlignment="1">
      <alignment horizontal="right" vertical="center"/>
    </xf>
    <xf numFmtId="10" fontId="7" fillId="0" borderId="0" xfId="3" applyNumberFormat="1" applyFont="1" applyFill="1" applyBorder="1" applyAlignment="1">
      <alignment horizontal="center" vertical="center"/>
    </xf>
    <xf numFmtId="165" fontId="7" fillId="0" borderId="0" xfId="1" applyNumberFormat="1" applyFont="1" applyFill="1" applyBorder="1" applyAlignment="1">
      <alignment horizontal="center" vertical="center"/>
    </xf>
    <xf numFmtId="44" fontId="7" fillId="0" borderId="0" xfId="2" applyFont="1" applyAlignment="1">
      <alignment horizontal="center" vertical="center"/>
    </xf>
    <xf numFmtId="165" fontId="7" fillId="0" borderId="0" xfId="4" applyNumberFormat="1" applyFont="1" applyAlignment="1">
      <alignment horizontal="center" vertical="center"/>
    </xf>
    <xf numFmtId="168" fontId="7" fillId="0" borderId="0" xfId="0" applyNumberFormat="1" applyFont="1" applyAlignment="1">
      <alignment horizontal="center" vertical="center"/>
    </xf>
    <xf numFmtId="165" fontId="7" fillId="3" borderId="0" xfId="1" applyNumberFormat="1" applyFont="1" applyFill="1" applyBorder="1" applyAlignment="1">
      <alignment horizontal="center" vertical="center"/>
    </xf>
    <xf numFmtId="3" fontId="7" fillId="3" borderId="0" xfId="1" applyNumberFormat="1" applyFont="1" applyFill="1" applyBorder="1" applyAlignment="1">
      <alignment horizontal="right" vertical="center"/>
    </xf>
    <xf numFmtId="165" fontId="16" fillId="0" borderId="0" xfId="0" applyNumberFormat="1" applyFont="1" applyAlignment="1">
      <alignment horizontal="center" vertical="center" wrapText="1"/>
    </xf>
    <xf numFmtId="164" fontId="16" fillId="0" borderId="0" xfId="0" applyNumberFormat="1" applyFont="1" applyAlignment="1">
      <alignment horizontal="center" vertical="center" wrapText="1"/>
    </xf>
    <xf numFmtId="44" fontId="17" fillId="0" borderId="0" xfId="2" applyFont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4" fillId="0" borderId="2" xfId="5" applyBorder="1" applyAlignment="1">
      <alignment horizontal="left" vertical="center" wrapText="1"/>
    </xf>
    <xf numFmtId="165" fontId="6" fillId="0" borderId="2" xfId="6" applyNumberFormat="1" applyFont="1" applyFill="1" applyBorder="1" applyAlignment="1">
      <alignment horizontal="center" vertical="center" wrapText="1"/>
    </xf>
    <xf numFmtId="1" fontId="5" fillId="0" borderId="2" xfId="5" applyNumberFormat="1" applyFont="1" applyBorder="1" applyAlignment="1">
      <alignment vertical="center" wrapText="1"/>
    </xf>
    <xf numFmtId="1" fontId="5" fillId="0" borderId="2" xfId="5" applyNumberFormat="1" applyFont="1" applyBorder="1" applyAlignment="1">
      <alignment vertical="center"/>
    </xf>
    <xf numFmtId="165" fontId="8" fillId="0" borderId="2" xfId="6" applyNumberFormat="1" applyFont="1" applyFill="1" applyBorder="1" applyAlignment="1">
      <alignment horizontal="center" vertical="center" wrapText="1"/>
    </xf>
    <xf numFmtId="165" fontId="7" fillId="0" borderId="2" xfId="1" applyNumberFormat="1" applyFont="1" applyFill="1" applyBorder="1" applyAlignment="1">
      <alignment horizontal="center" vertical="center" wrapText="1"/>
    </xf>
    <xf numFmtId="165" fontId="6" fillId="0" borderId="2" xfId="1" applyNumberFormat="1" applyFont="1" applyFill="1" applyBorder="1" applyAlignment="1">
      <alignment horizontal="center" vertical="center" wrapText="1"/>
    </xf>
    <xf numFmtId="165" fontId="4" fillId="0" borderId="2" xfId="1" applyNumberFormat="1" applyFont="1" applyFill="1" applyBorder="1" applyAlignment="1">
      <alignment horizontal="center" vertical="center" wrapText="1"/>
    </xf>
    <xf numFmtId="165" fontId="9" fillId="0" borderId="2" xfId="1" applyNumberFormat="1" applyFont="1" applyFill="1" applyBorder="1" applyAlignment="1">
      <alignment horizontal="center" vertical="center" wrapText="1"/>
    </xf>
    <xf numFmtId="0" fontId="5" fillId="0" borderId="2" xfId="5" applyFont="1" applyBorder="1" applyAlignment="1">
      <alignment horizontal="right" vertical="center" wrapText="1"/>
    </xf>
    <xf numFmtId="165" fontId="8" fillId="0" borderId="2" xfId="1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167" fontId="18" fillId="0" borderId="0" xfId="0" applyNumberFormat="1" applyFont="1" applyAlignment="1">
      <alignment horizontal="center" vertical="center"/>
    </xf>
    <xf numFmtId="167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43" fontId="18" fillId="0" borderId="0" xfId="0" applyNumberFormat="1" applyFont="1" applyAlignment="1">
      <alignment horizontal="center" vertical="center"/>
    </xf>
    <xf numFmtId="164" fontId="7" fillId="0" borderId="0" xfId="1" applyNumberFormat="1" applyFont="1" applyAlignment="1">
      <alignment horizontal="center" vertical="center"/>
    </xf>
    <xf numFmtId="167" fontId="20" fillId="4" borderId="2" xfId="7" applyNumberFormat="1" applyFont="1" applyFill="1" applyBorder="1" applyAlignment="1">
      <alignment horizontal="right" vertical="center"/>
    </xf>
    <xf numFmtId="167" fontId="7" fillId="2" borderId="2" xfId="7" applyNumberFormat="1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9" fillId="2" borderId="2" xfId="0" applyFont="1" applyFill="1" applyBorder="1" applyAlignment="1">
      <alignment horizontal="left" vertical="center"/>
    </xf>
    <xf numFmtId="0" fontId="21" fillId="4" borderId="2" xfId="0" applyFont="1" applyFill="1" applyBorder="1" applyAlignment="1">
      <alignment horizontal="left" vertical="center"/>
    </xf>
    <xf numFmtId="167" fontId="21" fillId="4" borderId="2" xfId="7" applyNumberFormat="1" applyFont="1" applyFill="1" applyBorder="1" applyAlignment="1">
      <alignment horizontal="right" vertical="center"/>
    </xf>
    <xf numFmtId="169" fontId="17" fillId="0" borderId="0" xfId="2" applyNumberFormat="1" applyFont="1" applyAlignment="1">
      <alignment horizontal="right" vertical="center" wrapText="1"/>
    </xf>
    <xf numFmtId="1" fontId="16" fillId="0" borderId="0" xfId="0" applyNumberFormat="1" applyFont="1" applyAlignment="1">
      <alignment horizontal="right" vertical="center" wrapText="1"/>
    </xf>
    <xf numFmtId="1" fontId="7" fillId="0" borderId="0" xfId="0" applyNumberFormat="1" applyFont="1" applyAlignment="1">
      <alignment horizontal="right" vertical="center" wrapText="1"/>
    </xf>
    <xf numFmtId="165" fontId="6" fillId="0" borderId="0" xfId="4" applyNumberFormat="1" applyFont="1" applyFill="1" applyAlignment="1">
      <alignment horizontal="center" vertical="center"/>
    </xf>
    <xf numFmtId="165" fontId="6" fillId="0" borderId="0" xfId="4" applyNumberFormat="1" applyFont="1" applyFill="1" applyBorder="1" applyAlignment="1">
      <alignment horizontal="center" vertical="center"/>
    </xf>
    <xf numFmtId="0" fontId="13" fillId="0" borderId="0" xfId="5" applyFont="1" applyAlignment="1">
      <alignment horizontal="center" vertical="center" wrapText="1"/>
    </xf>
    <xf numFmtId="165" fontId="14" fillId="0" borderId="0" xfId="6" applyNumberFormat="1" applyFont="1" applyFill="1" applyBorder="1" applyAlignment="1">
      <alignment horizontal="center" vertical="center" wrapText="1"/>
    </xf>
    <xf numFmtId="165" fontId="15" fillId="0" borderId="0" xfId="0" applyNumberFormat="1" applyFont="1" applyAlignment="1">
      <alignment horizontal="center" vertical="center"/>
    </xf>
    <xf numFmtId="169" fontId="22" fillId="0" borderId="0" xfId="1" applyNumberFormat="1" applyFont="1" applyFill="1" applyAlignment="1">
      <alignment horizontal="center" vertical="center"/>
    </xf>
    <xf numFmtId="0" fontId="24" fillId="0" borderId="2" xfId="0" applyFont="1" applyBorder="1" applyAlignment="1">
      <alignment horizontal="left" vertical="center"/>
    </xf>
    <xf numFmtId="169" fontId="24" fillId="0" borderId="2" xfId="2" applyNumberFormat="1" applyFont="1" applyBorder="1" applyAlignment="1">
      <alignment horizontal="right" vertical="center"/>
    </xf>
    <xf numFmtId="169" fontId="24" fillId="0" borderId="2" xfId="2" applyNumberFormat="1" applyFont="1" applyBorder="1" applyAlignment="1">
      <alignment horizontal="right" vertical="center" wrapText="1"/>
    </xf>
    <xf numFmtId="169" fontId="27" fillId="0" borderId="2" xfId="2" applyNumberFormat="1" applyFont="1" applyBorder="1" applyAlignment="1">
      <alignment horizontal="right" vertical="center"/>
    </xf>
    <xf numFmtId="169" fontId="28" fillId="0" borderId="2" xfId="0" applyNumberFormat="1" applyFont="1" applyBorder="1" applyAlignment="1">
      <alignment vertical="center"/>
    </xf>
    <xf numFmtId="0" fontId="28" fillId="0" borderId="2" xfId="0" applyFont="1" applyBorder="1" applyAlignment="1">
      <alignment horizontal="left" vertical="center"/>
    </xf>
    <xf numFmtId="0" fontId="31" fillId="0" borderId="2" xfId="5" applyFont="1" applyBorder="1" applyAlignment="1">
      <alignment horizontal="left" vertical="center" wrapText="1"/>
    </xf>
    <xf numFmtId="165" fontId="30" fillId="0" borderId="2" xfId="1" applyNumberFormat="1" applyFont="1" applyFill="1" applyBorder="1" applyAlignment="1">
      <alignment horizontal="center" vertical="center"/>
    </xf>
    <xf numFmtId="166" fontId="30" fillId="0" borderId="2" xfId="1" applyNumberFormat="1" applyFont="1" applyFill="1" applyBorder="1" applyAlignment="1">
      <alignment horizontal="center" vertical="center"/>
    </xf>
    <xf numFmtId="169" fontId="30" fillId="0" borderId="2" xfId="2" applyNumberFormat="1" applyFont="1" applyFill="1" applyBorder="1" applyAlignment="1">
      <alignment horizontal="right" vertical="center"/>
    </xf>
    <xf numFmtId="0" fontId="29" fillId="0" borderId="2" xfId="5" applyFont="1" applyBorder="1" applyAlignment="1">
      <alignment horizontal="left" vertical="center" wrapText="1"/>
    </xf>
    <xf numFmtId="169" fontId="32" fillId="0" borderId="2" xfId="2" applyNumberFormat="1" applyFont="1" applyFill="1" applyBorder="1" applyAlignment="1">
      <alignment horizontal="right" vertical="center"/>
    </xf>
    <xf numFmtId="44" fontId="10" fillId="0" borderId="0" xfId="7" applyFont="1" applyFill="1" applyBorder="1" applyAlignment="1">
      <alignment vertical="center"/>
    </xf>
    <xf numFmtId="167" fontId="10" fillId="0" borderId="0" xfId="7" applyNumberFormat="1" applyFont="1" applyFill="1" applyBorder="1" applyAlignment="1">
      <alignment vertical="center"/>
    </xf>
    <xf numFmtId="0" fontId="20" fillId="5" borderId="2" xfId="0" applyFont="1" applyFill="1" applyBorder="1" applyAlignment="1">
      <alignment vertical="center"/>
    </xf>
    <xf numFmtId="0" fontId="18" fillId="6" borderId="2" xfId="0" applyFont="1" applyFill="1" applyBorder="1" applyAlignment="1">
      <alignment vertical="center"/>
    </xf>
    <xf numFmtId="167" fontId="7" fillId="6" borderId="2" xfId="1" applyNumberFormat="1" applyFont="1" applyFill="1" applyBorder="1" applyAlignment="1">
      <alignment horizontal="right" vertical="center"/>
    </xf>
    <xf numFmtId="167" fontId="7" fillId="6" borderId="2" xfId="1" applyNumberFormat="1" applyFont="1" applyFill="1" applyBorder="1" applyAlignment="1">
      <alignment vertical="center"/>
    </xf>
    <xf numFmtId="167" fontId="20" fillId="5" borderId="2" xfId="7" applyNumberFormat="1" applyFont="1" applyFill="1" applyBorder="1" applyAlignment="1">
      <alignment vertical="center"/>
    </xf>
    <xf numFmtId="167" fontId="20" fillId="5" borderId="2" xfId="7" applyNumberFormat="1" applyFont="1" applyFill="1" applyBorder="1" applyAlignment="1">
      <alignment horizontal="right" vertical="center"/>
    </xf>
    <xf numFmtId="44" fontId="26" fillId="7" borderId="2" xfId="0" applyNumberFormat="1" applyFont="1" applyFill="1" applyBorder="1" applyAlignment="1">
      <alignment horizontal="center" vertical="center" wrapText="1"/>
    </xf>
    <xf numFmtId="44" fontId="25" fillId="7" borderId="2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165" fontId="3" fillId="8" borderId="1" xfId="1" applyNumberFormat="1" applyFont="1" applyFill="1" applyBorder="1" applyAlignment="1">
      <alignment horizontal="center" vertical="center" wrapText="1"/>
    </xf>
    <xf numFmtId="165" fontId="3" fillId="8" borderId="1" xfId="4" applyNumberFormat="1" applyFont="1" applyFill="1" applyBorder="1" applyAlignment="1">
      <alignment horizontal="center" vertical="center" wrapText="1"/>
    </xf>
    <xf numFmtId="0" fontId="23" fillId="8" borderId="0" xfId="0" applyFont="1" applyFill="1" applyAlignment="1">
      <alignment horizontal="center" vertical="center" wrapText="1"/>
    </xf>
    <xf numFmtId="165" fontId="14" fillId="7" borderId="2" xfId="6" applyNumberFormat="1" applyFont="1" applyFill="1" applyBorder="1" applyAlignment="1">
      <alignment horizontal="center" vertical="center" wrapText="1"/>
    </xf>
    <xf numFmtId="1" fontId="16" fillId="7" borderId="3" xfId="0" applyNumberFormat="1" applyFont="1" applyFill="1" applyBorder="1" applyAlignment="1">
      <alignment horizontal="right" vertical="center" wrapText="1"/>
    </xf>
    <xf numFmtId="165" fontId="14" fillId="7" borderId="2" xfId="4" applyNumberFormat="1" applyFont="1" applyFill="1" applyBorder="1" applyAlignment="1">
      <alignment horizontal="center" vertical="center"/>
    </xf>
    <xf numFmtId="165" fontId="8" fillId="7" borderId="2" xfId="4" applyNumberFormat="1" applyFont="1" applyFill="1" applyBorder="1" applyAlignment="1">
      <alignment horizontal="center" vertical="center"/>
    </xf>
    <xf numFmtId="165" fontId="6" fillId="7" borderId="2" xfId="4" applyNumberFormat="1" applyFont="1" applyFill="1" applyBorder="1" applyAlignment="1">
      <alignment horizontal="center" vertical="center"/>
    </xf>
    <xf numFmtId="0" fontId="29" fillId="8" borderId="2" xfId="5" applyFont="1" applyFill="1" applyBorder="1" applyAlignment="1">
      <alignment horizontal="left" vertical="center" wrapText="1"/>
    </xf>
    <xf numFmtId="165" fontId="30" fillId="8" borderId="2" xfId="1" applyNumberFormat="1" applyFont="1" applyFill="1" applyBorder="1" applyAlignment="1">
      <alignment horizontal="center" vertical="center"/>
    </xf>
    <xf numFmtId="165" fontId="3" fillId="8" borderId="2" xfId="1" applyNumberFormat="1" applyFont="1" applyFill="1" applyBorder="1" applyAlignment="1">
      <alignment horizontal="center" vertical="center" wrapText="1"/>
    </xf>
    <xf numFmtId="170" fontId="7" fillId="0" borderId="0" xfId="1" applyNumberFormat="1" applyFont="1" applyAlignment="1">
      <alignment horizontal="center" vertical="center"/>
    </xf>
    <xf numFmtId="171" fontId="7" fillId="3" borderId="0" xfId="1" applyNumberFormat="1" applyFont="1" applyFill="1" applyBorder="1" applyAlignment="1">
      <alignment horizontal="center" vertical="center"/>
    </xf>
    <xf numFmtId="171" fontId="7" fillId="0" borderId="0" xfId="1" applyNumberFormat="1" applyFont="1" applyAlignment="1">
      <alignment horizontal="center" vertical="center"/>
    </xf>
    <xf numFmtId="165" fontId="14" fillId="0" borderId="0" xfId="4" applyNumberFormat="1" applyFont="1" applyFill="1" applyBorder="1" applyAlignment="1">
      <alignment horizontal="center" vertical="center"/>
    </xf>
    <xf numFmtId="165" fontId="3" fillId="2" borderId="2" xfId="1" applyNumberFormat="1" applyFont="1" applyFill="1" applyBorder="1" applyAlignment="1">
      <alignment horizontal="center" vertical="center" wrapText="1"/>
    </xf>
    <xf numFmtId="165" fontId="14" fillId="0" borderId="2" xfId="6" applyNumberFormat="1" applyFont="1" applyFill="1" applyBorder="1" applyAlignment="1">
      <alignment horizontal="center" vertical="center" wrapText="1"/>
    </xf>
    <xf numFmtId="169" fontId="22" fillId="0" borderId="0" xfId="1" applyNumberFormat="1" applyFont="1" applyFill="1" applyAlignment="1">
      <alignment horizontal="right" vertical="center"/>
    </xf>
    <xf numFmtId="165" fontId="6" fillId="9" borderId="2" xfId="6" applyNumberFormat="1" applyFont="1" applyFill="1" applyBorder="1" applyAlignment="1">
      <alignment horizontal="center" vertical="center" wrapText="1"/>
    </xf>
    <xf numFmtId="1" fontId="5" fillId="9" borderId="2" xfId="5" applyNumberFormat="1" applyFont="1" applyFill="1" applyBorder="1" applyAlignment="1">
      <alignment vertical="center" wrapText="1"/>
    </xf>
    <xf numFmtId="0" fontId="4" fillId="9" borderId="2" xfId="5" applyFill="1" applyBorder="1" applyAlignment="1">
      <alignment horizontal="left" vertical="center" wrapText="1"/>
    </xf>
    <xf numFmtId="165" fontId="8" fillId="9" borderId="2" xfId="6" applyNumberFormat="1" applyFont="1" applyFill="1" applyBorder="1" applyAlignment="1">
      <alignment horizontal="center" vertical="center" wrapText="1"/>
    </xf>
    <xf numFmtId="0" fontId="6" fillId="9" borderId="0" xfId="0" applyFont="1" applyFill="1" applyAlignment="1">
      <alignment horizontal="center" vertical="center"/>
    </xf>
    <xf numFmtId="41" fontId="7" fillId="0" borderId="0" xfId="8" applyFont="1" applyAlignment="1">
      <alignment horizontal="left" vertical="center"/>
    </xf>
    <xf numFmtId="41" fontId="7" fillId="0" borderId="0" xfId="0" applyNumberFormat="1" applyFont="1" applyAlignment="1">
      <alignment horizontal="left" vertical="center"/>
    </xf>
    <xf numFmtId="41" fontId="33" fillId="0" borderId="0" xfId="8" applyFont="1" applyAlignment="1">
      <alignment horizontal="left" vertical="center"/>
    </xf>
    <xf numFmtId="169" fontId="7" fillId="0" borderId="0" xfId="0" applyNumberFormat="1" applyFont="1" applyAlignment="1">
      <alignment horizontal="left" vertical="center"/>
    </xf>
    <xf numFmtId="41" fontId="7" fillId="0" borderId="0" xfId="8" applyFont="1" applyAlignment="1">
      <alignment horizontal="right" vertical="center"/>
    </xf>
    <xf numFmtId="43" fontId="7" fillId="0" borderId="0" xfId="0" applyNumberFormat="1" applyFont="1" applyAlignment="1">
      <alignment horizontal="left" vertical="center"/>
    </xf>
    <xf numFmtId="43" fontId="7" fillId="0" borderId="0" xfId="0" applyNumberFormat="1" applyFont="1" applyAlignment="1">
      <alignment horizontal="center" vertical="center"/>
    </xf>
    <xf numFmtId="170" fontId="7" fillId="3" borderId="0" xfId="1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167" fontId="21" fillId="0" borderId="0" xfId="7" applyNumberFormat="1" applyFont="1" applyFill="1" applyBorder="1" applyAlignment="1">
      <alignment horizontal="right" vertical="center"/>
    </xf>
    <xf numFmtId="167" fontId="20" fillId="0" borderId="0" xfId="7" applyNumberFormat="1" applyFont="1" applyFill="1" applyBorder="1" applyAlignment="1">
      <alignment horizontal="right" vertical="center"/>
    </xf>
    <xf numFmtId="165" fontId="34" fillId="0" borderId="2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1" fontId="16" fillId="0" borderId="3" xfId="0" applyNumberFormat="1" applyFont="1" applyBorder="1" applyAlignment="1">
      <alignment horizontal="right" vertical="center" wrapText="1"/>
    </xf>
    <xf numFmtId="165" fontId="14" fillId="0" borderId="2" xfId="4" applyNumberFormat="1" applyFont="1" applyFill="1" applyBorder="1" applyAlignment="1">
      <alignment horizontal="center" vertical="center"/>
    </xf>
    <xf numFmtId="165" fontId="8" fillId="0" borderId="2" xfId="4" applyNumberFormat="1" applyFont="1" applyFill="1" applyBorder="1" applyAlignment="1">
      <alignment horizontal="center" vertical="center"/>
    </xf>
    <xf numFmtId="165" fontId="6" fillId="0" borderId="2" xfId="4" applyNumberFormat="1" applyFont="1" applyFill="1" applyBorder="1" applyAlignment="1">
      <alignment horizontal="center" vertical="center"/>
    </xf>
    <xf numFmtId="165" fontId="3" fillId="0" borderId="2" xfId="1" applyNumberFormat="1" applyFont="1" applyFill="1" applyBorder="1" applyAlignment="1">
      <alignment horizontal="center" vertical="center" wrapText="1"/>
    </xf>
    <xf numFmtId="169" fontId="17" fillId="0" borderId="0" xfId="2" applyNumberFormat="1" applyFont="1" applyFill="1" applyAlignment="1">
      <alignment horizontal="right" vertical="center" wrapText="1"/>
    </xf>
    <xf numFmtId="165" fontId="7" fillId="0" borderId="2" xfId="1" applyNumberFormat="1" applyFont="1" applyFill="1" applyBorder="1" applyAlignment="1">
      <alignment horizontal="center" vertical="center"/>
    </xf>
    <xf numFmtId="165" fontId="7" fillId="0" borderId="0" xfId="1" applyNumberFormat="1" applyFont="1" applyFill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167" fontId="7" fillId="0" borderId="2" xfId="7" applyNumberFormat="1" applyFont="1" applyFill="1" applyBorder="1" applyAlignment="1">
      <alignment horizontal="right" vertical="center"/>
    </xf>
    <xf numFmtId="0" fontId="21" fillId="0" borderId="2" xfId="0" applyFont="1" applyBorder="1" applyAlignment="1">
      <alignment horizontal="left" vertical="center"/>
    </xf>
    <xf numFmtId="167" fontId="21" fillId="0" borderId="2" xfId="7" applyNumberFormat="1" applyFont="1" applyFill="1" applyBorder="1" applyAlignment="1">
      <alignment horizontal="right" vertical="center"/>
    </xf>
    <xf numFmtId="167" fontId="20" fillId="0" borderId="2" xfId="7" applyNumberFormat="1" applyFont="1" applyFill="1" applyBorder="1" applyAlignment="1">
      <alignment horizontal="right" vertical="center"/>
    </xf>
    <xf numFmtId="0" fontId="18" fillId="0" borderId="2" xfId="0" applyFont="1" applyBorder="1" applyAlignment="1">
      <alignment vertical="center"/>
    </xf>
    <xf numFmtId="167" fontId="7" fillId="0" borderId="2" xfId="1" applyNumberFormat="1" applyFont="1" applyFill="1" applyBorder="1" applyAlignment="1">
      <alignment horizontal="right" vertical="center"/>
    </xf>
    <xf numFmtId="167" fontId="7" fillId="0" borderId="2" xfId="1" applyNumberFormat="1" applyFont="1" applyFill="1" applyBorder="1" applyAlignment="1">
      <alignment vertical="center"/>
    </xf>
    <xf numFmtId="0" fontId="20" fillId="0" borderId="2" xfId="0" applyFont="1" applyBorder="1" applyAlignment="1">
      <alignment vertical="center"/>
    </xf>
    <xf numFmtId="167" fontId="20" fillId="0" borderId="2" xfId="7" applyNumberFormat="1" applyFont="1" applyFill="1" applyBorder="1" applyAlignment="1">
      <alignment vertical="center"/>
    </xf>
    <xf numFmtId="44" fontId="7" fillId="0" borderId="0" xfId="2" applyFont="1" applyFill="1" applyAlignment="1">
      <alignment horizontal="center" vertical="center"/>
    </xf>
    <xf numFmtId="165" fontId="7" fillId="0" borderId="0" xfId="4" applyNumberFormat="1" applyFont="1" applyFill="1" applyAlignment="1">
      <alignment horizontal="center" vertical="center"/>
    </xf>
    <xf numFmtId="44" fontId="26" fillId="0" borderId="2" xfId="0" applyNumberFormat="1" applyFont="1" applyBorder="1" applyAlignment="1">
      <alignment horizontal="center" vertical="center" wrapText="1"/>
    </xf>
    <xf numFmtId="164" fontId="7" fillId="0" borderId="0" xfId="1" applyNumberFormat="1" applyFont="1" applyFill="1" applyAlignment="1">
      <alignment horizontal="center" vertical="center"/>
    </xf>
    <xf numFmtId="172" fontId="7" fillId="0" borderId="0" xfId="8" applyNumberFormat="1" applyFont="1" applyFill="1" applyBorder="1" applyAlignment="1">
      <alignment horizontal="center" vertical="center"/>
    </xf>
    <xf numFmtId="173" fontId="7" fillId="0" borderId="0" xfId="0" applyNumberFormat="1" applyFont="1" applyAlignment="1">
      <alignment horizontal="center" vertical="center"/>
    </xf>
    <xf numFmtId="44" fontId="25" fillId="0" borderId="2" xfId="0" applyNumberFormat="1" applyFont="1" applyBorder="1" applyAlignment="1">
      <alignment horizontal="center" vertical="center" wrapText="1"/>
    </xf>
    <xf numFmtId="169" fontId="24" fillId="0" borderId="2" xfId="2" applyNumberFormat="1" applyFont="1" applyFill="1" applyBorder="1" applyAlignment="1">
      <alignment horizontal="right" vertical="center"/>
    </xf>
    <xf numFmtId="169" fontId="24" fillId="0" borderId="2" xfId="2" applyNumberFormat="1" applyFont="1" applyFill="1" applyBorder="1" applyAlignment="1">
      <alignment horizontal="right" vertical="center" wrapText="1"/>
    </xf>
    <xf numFmtId="3" fontId="7" fillId="0" borderId="0" xfId="1" applyNumberFormat="1" applyFont="1" applyFill="1" applyBorder="1" applyAlignment="1">
      <alignment horizontal="right" vertical="center"/>
    </xf>
    <xf numFmtId="170" fontId="7" fillId="0" borderId="0" xfId="1" applyNumberFormat="1" applyFont="1" applyFill="1" applyBorder="1" applyAlignment="1">
      <alignment horizontal="center" vertical="center"/>
    </xf>
    <xf numFmtId="169" fontId="27" fillId="0" borderId="2" xfId="2" applyNumberFormat="1" applyFont="1" applyFill="1" applyBorder="1" applyAlignment="1">
      <alignment horizontal="right" vertical="center"/>
    </xf>
    <xf numFmtId="41" fontId="7" fillId="0" borderId="0" xfId="8" applyFont="1" applyFill="1" applyAlignment="1">
      <alignment horizontal="left" vertical="center"/>
    </xf>
    <xf numFmtId="41" fontId="7" fillId="0" borderId="0" xfId="8" applyFont="1" applyFill="1" applyAlignment="1">
      <alignment horizontal="right" vertical="center"/>
    </xf>
    <xf numFmtId="0" fontId="2" fillId="10" borderId="1" xfId="0" applyFont="1" applyFill="1" applyBorder="1" applyAlignment="1">
      <alignment horizontal="center" vertical="center" wrapText="1"/>
    </xf>
    <xf numFmtId="165" fontId="3" fillId="10" borderId="1" xfId="1" applyNumberFormat="1" applyFont="1" applyFill="1" applyBorder="1" applyAlignment="1">
      <alignment horizontal="center" vertical="center" wrapText="1"/>
    </xf>
    <xf numFmtId="165" fontId="3" fillId="10" borderId="1" xfId="4" applyNumberFormat="1" applyFont="1" applyFill="1" applyBorder="1" applyAlignment="1">
      <alignment horizontal="center" vertical="center" wrapText="1"/>
    </xf>
    <xf numFmtId="0" fontId="23" fillId="10" borderId="0" xfId="0" applyFont="1" applyFill="1" applyAlignment="1">
      <alignment horizontal="center" vertical="center" wrapText="1"/>
    </xf>
    <xf numFmtId="0" fontId="2" fillId="10" borderId="0" xfId="0" applyFont="1" applyFill="1" applyAlignment="1">
      <alignment horizontal="center" vertical="center" wrapText="1"/>
    </xf>
    <xf numFmtId="169" fontId="7" fillId="0" borderId="0" xfId="8" applyNumberFormat="1" applyFont="1" applyFill="1" applyAlignment="1">
      <alignment horizontal="center" vertical="center"/>
    </xf>
    <xf numFmtId="174" fontId="16" fillId="0" borderId="0" xfId="8" applyNumberFormat="1" applyFont="1" applyFill="1" applyAlignment="1">
      <alignment horizontal="right" vertical="center" wrapText="1"/>
    </xf>
    <xf numFmtId="41" fontId="7" fillId="0" borderId="0" xfId="8" applyFont="1" applyFill="1" applyAlignment="1">
      <alignment horizontal="center" vertical="center"/>
    </xf>
    <xf numFmtId="41" fontId="6" fillId="0" borderId="0" xfId="8" applyFont="1" applyFill="1" applyAlignment="1">
      <alignment horizontal="center" vertical="center"/>
    </xf>
    <xf numFmtId="169" fontId="6" fillId="0" borderId="0" xfId="0" applyNumberFormat="1" applyFont="1" applyAlignment="1">
      <alignment horizontal="center" vertical="center"/>
    </xf>
    <xf numFmtId="8" fontId="7" fillId="0" borderId="0" xfId="8" applyNumberFormat="1" applyFont="1" applyFill="1" applyAlignment="1">
      <alignment horizontal="center" vertical="center"/>
    </xf>
    <xf numFmtId="0" fontId="13" fillId="0" borderId="2" xfId="5" applyFont="1" applyBorder="1" applyAlignment="1">
      <alignment horizontal="center" vertical="center" wrapText="1"/>
    </xf>
    <xf numFmtId="0" fontId="13" fillId="7" borderId="2" xfId="5" applyFont="1" applyFill="1" applyBorder="1" applyAlignment="1">
      <alignment horizontal="center" vertical="center" wrapText="1"/>
    </xf>
  </cellXfs>
  <cellStyles count="9">
    <cellStyle name="Millares" xfId="1" builtinId="3"/>
    <cellStyle name="Millares [0]" xfId="8" builtinId="6"/>
    <cellStyle name="Millares 2" xfId="6" xr:uid="{00000000-0005-0000-0000-000002000000}"/>
    <cellStyle name="Millares 3" xfId="4" xr:uid="{00000000-0005-0000-0000-000003000000}"/>
    <cellStyle name="Moneda" xfId="2" builtinId="4"/>
    <cellStyle name="Moneda 3" xfId="7" xr:uid="{00000000-0005-0000-0000-000005000000}"/>
    <cellStyle name="Normal" xfId="0" builtinId="0"/>
    <cellStyle name="Normal 2" xfId="5" xr:uid="{00000000-0005-0000-0000-00000700000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TERVENTORIA\Desktop\CONTRATO%20DE%20VIGILANCIA\SENA%20VIGILANCIAu\SENA%20VIGILANCIA\PAGOS%20OPERADOR\ACTA%20PARCIAL%203\PAGO%203%20JULIO%20DEFINITIVOS%20KAREN\Acta%20de%20Recibo%20a%20Satisfacci&#243;n%20JULIO%209.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RAUCA"/>
      <sheetName val="CASANARE"/>
      <sheetName val="BOYACÁ"/>
      <sheetName val="NORTESANTANDER"/>
      <sheetName val="META"/>
      <sheetName val="SANTANDER"/>
      <sheetName val="AJSUTE CAMARAS BARBOSA"/>
      <sheetName val="PUESTO X CENTRO"/>
      <sheetName val="PUESTOS X MUN"/>
      <sheetName val="MEDIOS X CENTRO"/>
      <sheetName val="AJUSTE 1-14 5,2 CENTRO"/>
      <sheetName val="MEDIOS X MUN"/>
      <sheetName val="AJUSTE 1-14 5,2 MUNICI"/>
      <sheetName val="AJUSTE CONSOLIDADO MUNI"/>
      <sheetName val="AJUSTE CONSOLIDADO XCENTRO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91">
          <cell r="G91">
            <v>1275182674.5379002</v>
          </cell>
        </row>
      </sheetData>
      <sheetData sheetId="12"/>
      <sheetData sheetId="13"/>
      <sheetData sheetId="14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Miriam Ramirez Rincon" id="{3C57E41E-D136-489A-95B6-48BD290244C1}" userId="S::mramirezr@sena.edu.co::5c27d9a8-0e7a-44ef-be53-9591199de814" providerId="AD"/>
</personList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F15" dT="2025-03-07T13:39:14.33" personId="{3C57E41E-D136-489A-95B6-48BD290244C1}" id="{7DB4D1F7-5CA1-437A-BEFE-0087DAD39B73}">
    <text>Un rack-gabinete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F15" dT="2025-03-07T13:39:14.33" personId="{3C57E41E-D136-489A-95B6-48BD290244C1}" id="{7DB4D1F7-5CA1-437B-BEFE-0087DAD39B73}">
    <text>Un rack-gabinete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F15" dT="2025-03-07T13:39:14.33" personId="{3C57E41E-D136-489A-95B6-48BD290244C1}" id="{7DB4D1F7-5CA1-437C-BEFE-0087DAD39B73}">
    <text>Un rack-gabinete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AF15" dT="2025-03-07T13:39:14.33" personId="{3C57E41E-D136-489A-95B6-48BD290244C1}" id="{7DB4D1F7-5CA1-437F-BEFE-0087DAD39B73}">
    <text>Un rack-gabinete</text>
  </threadedComment>
</ThreadedComments>
</file>

<file path=xl/threadedComments/threadedComment5.xml><?xml version="1.0" encoding="utf-8"?>
<ThreadedComments xmlns="http://schemas.microsoft.com/office/spreadsheetml/2018/threadedcomments" xmlns:x="http://schemas.openxmlformats.org/spreadsheetml/2006/main">
  <threadedComment ref="AF15" dT="2025-03-07T13:39:14.33" personId="{3C57E41E-D136-489A-95B6-48BD290244C1}" id="{7DB4D1F7-5CA1-4381-BEFE-0087DAD39B73}">
    <text>Un rack-gabinete</text>
  </threadedComment>
</ThreadedComments>
</file>

<file path=xl/threadedComments/threadedComment6.xml><?xml version="1.0" encoding="utf-8"?>
<ThreadedComments xmlns="http://schemas.microsoft.com/office/spreadsheetml/2018/threadedcomments" xmlns:x="http://schemas.openxmlformats.org/spreadsheetml/2006/main">
  <threadedComment ref="AF15" dT="2025-03-07T13:39:14.33" personId="{3C57E41E-D136-489A-95B6-48BD290244C1}" id="{7DB4D1F7-5CA1-4382-BEFE-0087DAD39B73}">
    <text>Un rack-gabinete</text>
  </threadedComment>
</ThreadedComments>
</file>

<file path=xl/threadedComments/threadedComment7.xml><?xml version="1.0" encoding="utf-8"?>
<ThreadedComments xmlns="http://schemas.microsoft.com/office/spreadsheetml/2018/threadedcomments" xmlns:x="http://schemas.openxmlformats.org/spreadsheetml/2006/main">
  <threadedComment ref="AF15" dT="2025-03-07T13:39:14.33" personId="{3C57E41E-D136-489A-95B6-48BD290244C1}" id="{7DB4D1F7-5CA1-4383-BEFE-0087DAD39B73}">
    <text>Un rack-gabinete</text>
  </threadedComment>
</ThreadedComments>
</file>

<file path=xl/threadedComments/threadedComment8.xml><?xml version="1.0" encoding="utf-8"?>
<ThreadedComments xmlns="http://schemas.microsoft.com/office/spreadsheetml/2018/threadedcomments" xmlns:x="http://schemas.openxmlformats.org/spreadsheetml/2006/main">
  <threadedComment ref="AF15" dT="2025-03-07T13:39:14.33" personId="{3C57E41E-D136-489A-95B6-48BD290244C1}" id="{7DB4D1F7-5CA1-4380-BEFE-0087DAD39B73}">
    <text>Un rack-gabinete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0.bin"/><Relationship Id="rId4" Type="http://schemas.microsoft.com/office/2017/10/relationships/threadedComment" Target="../threadedComments/threadedComment4.xml"/></Relationships>
</file>

<file path=xl/worksheets/_rels/sheet1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5.xml"/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1.bin"/><Relationship Id="rId4" Type="http://schemas.microsoft.com/office/2017/10/relationships/threadedComment" Target="../threadedComments/threadedComment6.xml"/></Relationships>
</file>

<file path=xl/worksheets/_rels/sheet13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7.xml"/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4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8.xml"/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112"/>
  <sheetViews>
    <sheetView showGridLines="0" zoomScale="80" zoomScaleNormal="80" zoomScaleSheetLayoutView="25" workbookViewId="0">
      <pane xSplit="5" ySplit="1" topLeftCell="F93" activePane="bottomRight" state="frozen"/>
      <selection pane="topRight" activeCell="F1" sqref="F1"/>
      <selection pane="bottomLeft" activeCell="A2" sqref="A2"/>
      <selection pane="bottomRight" activeCell="L114" sqref="L114"/>
    </sheetView>
  </sheetViews>
  <sheetFormatPr baseColWidth="10" defaultColWidth="9.140625" defaultRowHeight="26.25" customHeight="1" x14ac:dyDescent="0.25"/>
  <cols>
    <col min="1" max="1" width="5.85546875" style="7" customWidth="1"/>
    <col min="2" max="2" width="16.42578125" style="12" customWidth="1"/>
    <col min="3" max="3" width="34" style="8" customWidth="1"/>
    <col min="4" max="4" width="29.85546875" style="8" customWidth="1"/>
    <col min="5" max="5" width="20.5703125" style="8" customWidth="1"/>
    <col min="6" max="6" width="20.7109375" style="9" customWidth="1"/>
    <col min="7" max="7" width="23.42578125" style="9" customWidth="1"/>
    <col min="8" max="8" width="17.140625" style="9" customWidth="1"/>
    <col min="9" max="9" width="17.140625" style="9" hidden="1" customWidth="1"/>
    <col min="10" max="10" width="20.42578125" style="9" hidden="1" customWidth="1"/>
    <col min="11" max="11" width="21.42578125" style="9" hidden="1" customWidth="1"/>
    <col min="12" max="12" width="23.42578125" style="9" customWidth="1"/>
    <col min="13" max="13" width="27" style="9" customWidth="1"/>
    <col min="14" max="14" width="13.7109375" style="9" hidden="1" customWidth="1"/>
    <col min="15" max="15" width="22.5703125" style="9" customWidth="1"/>
    <col min="16" max="16" width="23" style="9" customWidth="1"/>
    <col min="17" max="17" width="22.140625" style="9" customWidth="1"/>
    <col min="18" max="18" width="17.5703125" style="9" hidden="1" customWidth="1"/>
    <col min="19" max="19" width="18" style="9" hidden="1" customWidth="1"/>
    <col min="20" max="20" width="17.28515625" style="9" hidden="1" customWidth="1"/>
    <col min="21" max="21" width="22.28515625" style="9" customWidth="1"/>
    <col min="22" max="22" width="19.7109375" style="9" customWidth="1"/>
    <col min="23" max="23" width="21" style="9" customWidth="1"/>
    <col min="24" max="24" width="23" style="9" customWidth="1"/>
    <col min="25" max="25" width="19.28515625" style="9" customWidth="1"/>
    <col min="26" max="26" width="19.42578125" style="7" customWidth="1"/>
    <col min="27" max="27" width="23.85546875" style="7" customWidth="1"/>
    <col min="28" max="28" width="21.140625" style="7" customWidth="1"/>
    <col min="29" max="29" width="16.28515625" style="7" bestFit="1" customWidth="1"/>
    <col min="30" max="30" width="15.7109375" style="7" bestFit="1" customWidth="1"/>
    <col min="31" max="31" width="20.5703125" style="7" bestFit="1" customWidth="1"/>
    <col min="32" max="32" width="17.85546875" style="7" customWidth="1"/>
    <col min="33" max="33" width="17.28515625" style="7" customWidth="1"/>
    <col min="34" max="16384" width="9.140625" style="7"/>
  </cols>
  <sheetData>
    <row r="1" spans="2:33" s="1" customFormat="1" ht="99.75" customHeight="1" x14ac:dyDescent="0.25">
      <c r="B1" s="81" t="s">
        <v>0</v>
      </c>
      <c r="C1" s="81" t="s">
        <v>1</v>
      </c>
      <c r="D1" s="81" t="s">
        <v>2</v>
      </c>
      <c r="E1" s="81" t="s">
        <v>3</v>
      </c>
      <c r="F1" s="82" t="s">
        <v>4</v>
      </c>
      <c r="G1" s="82" t="s">
        <v>5</v>
      </c>
      <c r="H1" s="82" t="s">
        <v>6</v>
      </c>
      <c r="I1" s="82" t="s">
        <v>7</v>
      </c>
      <c r="J1" s="82" t="s">
        <v>8</v>
      </c>
      <c r="K1" s="82" t="s">
        <v>9</v>
      </c>
      <c r="L1" s="82" t="s">
        <v>10</v>
      </c>
      <c r="M1" s="82" t="s">
        <v>11</v>
      </c>
      <c r="N1" s="82" t="s">
        <v>12</v>
      </c>
      <c r="O1" s="82" t="s">
        <v>13</v>
      </c>
      <c r="P1" s="82" t="s">
        <v>14</v>
      </c>
      <c r="Q1" s="82" t="s">
        <v>15</v>
      </c>
      <c r="R1" s="82" t="s">
        <v>16</v>
      </c>
      <c r="S1" s="82" t="s">
        <v>17</v>
      </c>
      <c r="T1" s="81" t="s">
        <v>18</v>
      </c>
      <c r="U1" s="82" t="s">
        <v>19</v>
      </c>
      <c r="V1" s="82" t="s">
        <v>20</v>
      </c>
      <c r="W1" s="83" t="s">
        <v>21</v>
      </c>
      <c r="X1" s="82" t="s">
        <v>22</v>
      </c>
      <c r="Y1" s="82" t="s">
        <v>23</v>
      </c>
      <c r="Z1" s="82" t="s">
        <v>24</v>
      </c>
      <c r="AA1" s="84" t="s">
        <v>25</v>
      </c>
      <c r="AB1" s="82" t="s">
        <v>26</v>
      </c>
      <c r="AC1" s="82" t="s">
        <v>27</v>
      </c>
      <c r="AD1" s="82" t="s">
        <v>28</v>
      </c>
      <c r="AE1" s="82" t="s">
        <v>29</v>
      </c>
      <c r="AF1" s="82" t="s">
        <v>30</v>
      </c>
      <c r="AG1" s="82" t="s">
        <v>31</v>
      </c>
    </row>
    <row r="2" spans="2:33" s="2" customFormat="1" ht="49.5" customHeight="1" x14ac:dyDescent="0.25">
      <c r="B2" s="30" t="s">
        <v>32</v>
      </c>
      <c r="C2" s="27" t="s">
        <v>33</v>
      </c>
      <c r="D2" s="27" t="s">
        <v>151</v>
      </c>
      <c r="E2" s="27" t="s">
        <v>35</v>
      </c>
      <c r="F2" s="28">
        <v>0</v>
      </c>
      <c r="G2" s="31">
        <v>1</v>
      </c>
      <c r="H2" s="28">
        <v>0</v>
      </c>
      <c r="I2" s="28">
        <v>0</v>
      </c>
      <c r="J2" s="28">
        <v>0</v>
      </c>
      <c r="K2" s="28">
        <v>0</v>
      </c>
      <c r="L2" s="28">
        <v>0</v>
      </c>
      <c r="M2" s="28">
        <v>0</v>
      </c>
      <c r="N2" s="28">
        <v>0</v>
      </c>
      <c r="O2" s="28">
        <v>0</v>
      </c>
      <c r="P2" s="28">
        <v>0</v>
      </c>
      <c r="Q2" s="28">
        <v>0</v>
      </c>
      <c r="R2" s="28">
        <v>0</v>
      </c>
      <c r="S2" s="28">
        <v>0</v>
      </c>
      <c r="T2" s="28">
        <v>0</v>
      </c>
      <c r="U2" s="28">
        <v>0</v>
      </c>
      <c r="V2" s="28">
        <v>0</v>
      </c>
      <c r="W2" s="28">
        <v>0</v>
      </c>
      <c r="X2" s="28">
        <v>0</v>
      </c>
      <c r="Y2" s="28">
        <v>0</v>
      </c>
      <c r="Z2" s="28">
        <v>0</v>
      </c>
      <c r="AB2" s="35">
        <v>19</v>
      </c>
      <c r="AC2" s="35">
        <v>2</v>
      </c>
      <c r="AD2" s="35">
        <v>1</v>
      </c>
      <c r="AE2" s="35">
        <v>1</v>
      </c>
      <c r="AF2" s="35">
        <v>1</v>
      </c>
      <c r="AG2" s="35">
        <v>2</v>
      </c>
    </row>
    <row r="3" spans="2:33" s="2" customFormat="1" ht="48" customHeight="1" x14ac:dyDescent="0.25">
      <c r="B3" s="29" t="s">
        <v>32</v>
      </c>
      <c r="C3" s="27" t="s">
        <v>34</v>
      </c>
      <c r="D3" s="27" t="s">
        <v>151</v>
      </c>
      <c r="E3" s="27" t="s">
        <v>35</v>
      </c>
      <c r="F3" s="28">
        <v>0</v>
      </c>
      <c r="G3" s="31">
        <v>3</v>
      </c>
      <c r="H3" s="28">
        <v>0</v>
      </c>
      <c r="I3" s="28">
        <v>0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0</v>
      </c>
      <c r="R3" s="28">
        <v>0</v>
      </c>
      <c r="S3" s="28">
        <v>0</v>
      </c>
      <c r="T3" s="28">
        <v>0</v>
      </c>
      <c r="U3" s="28">
        <v>0</v>
      </c>
      <c r="V3" s="28">
        <v>0</v>
      </c>
      <c r="W3" s="28">
        <v>0</v>
      </c>
      <c r="X3" s="28">
        <v>0</v>
      </c>
      <c r="Y3" s="28">
        <v>0</v>
      </c>
      <c r="Z3" s="28">
        <v>0</v>
      </c>
      <c r="AB3" s="32">
        <v>0</v>
      </c>
      <c r="AC3" s="32">
        <v>0</v>
      </c>
      <c r="AD3" s="32">
        <v>0</v>
      </c>
      <c r="AE3" s="32">
        <v>0</v>
      </c>
      <c r="AF3" s="32">
        <v>0</v>
      </c>
      <c r="AG3" s="32">
        <v>0</v>
      </c>
    </row>
    <row r="4" spans="2:33" s="2" customFormat="1" ht="48" customHeight="1" x14ac:dyDescent="0.25">
      <c r="B4" s="29" t="s">
        <v>32</v>
      </c>
      <c r="C4" s="27" t="s">
        <v>34</v>
      </c>
      <c r="D4" s="27" t="s">
        <v>150</v>
      </c>
      <c r="E4" s="27" t="s">
        <v>35</v>
      </c>
      <c r="F4" s="28">
        <v>0</v>
      </c>
      <c r="G4" s="31">
        <v>2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B4" s="35">
        <v>15</v>
      </c>
      <c r="AC4" s="32">
        <v>0</v>
      </c>
      <c r="AD4" s="35">
        <v>1</v>
      </c>
      <c r="AE4" s="35">
        <v>1</v>
      </c>
      <c r="AF4" s="32">
        <v>0</v>
      </c>
      <c r="AG4" s="35">
        <v>1</v>
      </c>
    </row>
    <row r="5" spans="2:33" s="2" customFormat="1" ht="49.5" customHeight="1" x14ac:dyDescent="0.25">
      <c r="B5" s="29" t="s">
        <v>32</v>
      </c>
      <c r="C5" s="27" t="s">
        <v>34</v>
      </c>
      <c r="D5" s="27" t="s">
        <v>178</v>
      </c>
      <c r="E5" s="27" t="s">
        <v>35</v>
      </c>
      <c r="F5" s="28">
        <v>0</v>
      </c>
      <c r="G5" s="31">
        <v>1</v>
      </c>
      <c r="H5" s="28">
        <v>0</v>
      </c>
      <c r="I5" s="28">
        <v>0</v>
      </c>
      <c r="J5" s="28">
        <v>0</v>
      </c>
      <c r="K5" s="28">
        <v>0</v>
      </c>
      <c r="L5" s="28">
        <v>0</v>
      </c>
      <c r="M5" s="28">
        <v>0</v>
      </c>
      <c r="N5" s="28">
        <v>0</v>
      </c>
      <c r="O5" s="28">
        <v>0</v>
      </c>
      <c r="P5" s="28">
        <v>0</v>
      </c>
      <c r="Q5" s="28">
        <v>0</v>
      </c>
      <c r="R5" s="28">
        <v>0</v>
      </c>
      <c r="S5" s="28">
        <v>0</v>
      </c>
      <c r="T5" s="28">
        <v>0</v>
      </c>
      <c r="U5" s="28">
        <v>0</v>
      </c>
      <c r="V5" s="28">
        <v>0</v>
      </c>
      <c r="W5" s="28">
        <v>0</v>
      </c>
      <c r="X5" s="28">
        <v>0</v>
      </c>
      <c r="Y5" s="28">
        <v>0</v>
      </c>
      <c r="Z5" s="28">
        <v>0</v>
      </c>
      <c r="AB5" s="35">
        <v>7</v>
      </c>
      <c r="AC5" s="32">
        <v>0</v>
      </c>
      <c r="AD5" s="35">
        <v>1</v>
      </c>
      <c r="AE5" s="35">
        <v>1</v>
      </c>
      <c r="AF5" s="32">
        <v>0</v>
      </c>
      <c r="AG5" s="35">
        <v>1</v>
      </c>
    </row>
    <row r="6" spans="2:33" s="2" customFormat="1" ht="49.5" customHeight="1" x14ac:dyDescent="0.25">
      <c r="B6" s="29" t="s">
        <v>32</v>
      </c>
      <c r="C6" s="27" t="s">
        <v>34</v>
      </c>
      <c r="D6" s="27" t="s">
        <v>144</v>
      </c>
      <c r="E6" s="27" t="s">
        <v>36</v>
      </c>
      <c r="F6" s="28">
        <v>0</v>
      </c>
      <c r="G6" s="31">
        <v>2</v>
      </c>
      <c r="H6" s="28">
        <v>0</v>
      </c>
      <c r="I6" s="28">
        <v>0</v>
      </c>
      <c r="J6" s="28">
        <v>0</v>
      </c>
      <c r="K6" s="28">
        <v>0</v>
      </c>
      <c r="L6" s="28">
        <v>0</v>
      </c>
      <c r="M6" s="28">
        <v>0</v>
      </c>
      <c r="N6" s="28">
        <v>0</v>
      </c>
      <c r="O6" s="28">
        <v>0</v>
      </c>
      <c r="P6" s="28">
        <v>0</v>
      </c>
      <c r="Q6" s="28">
        <v>0</v>
      </c>
      <c r="R6" s="28">
        <v>0</v>
      </c>
      <c r="S6" s="28">
        <v>0</v>
      </c>
      <c r="T6" s="28">
        <v>0</v>
      </c>
      <c r="U6" s="28">
        <v>0</v>
      </c>
      <c r="V6" s="28">
        <v>0</v>
      </c>
      <c r="W6" s="28">
        <v>0</v>
      </c>
      <c r="X6" s="31">
        <v>1</v>
      </c>
      <c r="Y6" s="28">
        <v>0</v>
      </c>
      <c r="Z6" s="28">
        <v>0</v>
      </c>
      <c r="AB6" s="32">
        <v>11</v>
      </c>
      <c r="AC6" s="32">
        <v>0</v>
      </c>
      <c r="AD6" s="35">
        <v>1</v>
      </c>
      <c r="AE6" s="35">
        <v>1</v>
      </c>
      <c r="AF6" s="32">
        <v>0</v>
      </c>
      <c r="AG6" s="35">
        <v>1</v>
      </c>
    </row>
    <row r="7" spans="2:33" s="2" customFormat="1" ht="48" customHeight="1" x14ac:dyDescent="0.25">
      <c r="B7" s="29" t="s">
        <v>32</v>
      </c>
      <c r="C7" s="27" t="s">
        <v>34</v>
      </c>
      <c r="D7" s="27" t="s">
        <v>145</v>
      </c>
      <c r="E7" s="27" t="s">
        <v>36</v>
      </c>
      <c r="F7" s="28">
        <v>0</v>
      </c>
      <c r="G7" s="31">
        <v>1</v>
      </c>
      <c r="H7" s="28">
        <v>0</v>
      </c>
      <c r="I7" s="28"/>
      <c r="J7" s="28"/>
      <c r="K7" s="28"/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B7" s="32">
        <v>0</v>
      </c>
      <c r="AC7" s="32">
        <v>0</v>
      </c>
      <c r="AD7" s="32">
        <v>0</v>
      </c>
      <c r="AE7" s="32">
        <v>0</v>
      </c>
      <c r="AF7" s="32">
        <v>0</v>
      </c>
      <c r="AG7" s="32">
        <v>0</v>
      </c>
    </row>
    <row r="8" spans="2:33" s="2" customFormat="1" ht="48" customHeight="1" x14ac:dyDescent="0.25">
      <c r="B8" s="29" t="s">
        <v>32</v>
      </c>
      <c r="C8" s="27" t="s">
        <v>34</v>
      </c>
      <c r="D8" s="27" t="s">
        <v>179</v>
      </c>
      <c r="E8" s="27" t="s">
        <v>37</v>
      </c>
      <c r="F8" s="28">
        <v>0</v>
      </c>
      <c r="G8" s="31">
        <v>2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0</v>
      </c>
      <c r="W8" s="28">
        <v>0</v>
      </c>
      <c r="X8" s="28">
        <v>0</v>
      </c>
      <c r="Y8" s="28">
        <v>0</v>
      </c>
      <c r="Z8" s="28">
        <v>0</v>
      </c>
      <c r="AB8" s="35">
        <v>16</v>
      </c>
      <c r="AC8" s="32">
        <v>0</v>
      </c>
      <c r="AD8" s="35">
        <v>1</v>
      </c>
      <c r="AE8" s="35">
        <v>1</v>
      </c>
      <c r="AF8" s="32">
        <v>0</v>
      </c>
      <c r="AG8" s="35">
        <v>3</v>
      </c>
    </row>
    <row r="9" spans="2:33" s="2" customFormat="1" ht="48" customHeight="1" x14ac:dyDescent="0.25">
      <c r="B9" s="29" t="s">
        <v>32</v>
      </c>
      <c r="C9" s="27" t="s">
        <v>34</v>
      </c>
      <c r="D9" s="27" t="s">
        <v>38</v>
      </c>
      <c r="E9" s="27" t="s">
        <v>37</v>
      </c>
      <c r="F9" s="28">
        <v>0</v>
      </c>
      <c r="G9" s="31">
        <v>2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58">
        <f>+AA11*0.4</f>
        <v>98745844.867911384</v>
      </c>
      <c r="AB9" s="32">
        <v>0</v>
      </c>
      <c r="AC9" s="32">
        <v>0</v>
      </c>
      <c r="AD9" s="32">
        <v>0</v>
      </c>
      <c r="AE9" s="32">
        <v>0</v>
      </c>
      <c r="AF9" s="32">
        <v>0</v>
      </c>
      <c r="AG9" s="32">
        <v>0</v>
      </c>
    </row>
    <row r="10" spans="2:33" s="2" customFormat="1" ht="48" customHeight="1" x14ac:dyDescent="0.25">
      <c r="B10" s="29" t="s">
        <v>32</v>
      </c>
      <c r="C10" s="27" t="s">
        <v>34</v>
      </c>
      <c r="D10" s="27" t="s">
        <v>39</v>
      </c>
      <c r="E10" s="27" t="s">
        <v>40</v>
      </c>
      <c r="F10" s="28">
        <v>0</v>
      </c>
      <c r="G10" s="31">
        <v>1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B10" s="32">
        <v>0</v>
      </c>
      <c r="AC10" s="32">
        <v>0</v>
      </c>
      <c r="AD10" s="32">
        <v>0</v>
      </c>
      <c r="AE10" s="32">
        <v>0</v>
      </c>
      <c r="AF10" s="32">
        <v>0</v>
      </c>
      <c r="AG10" s="32">
        <v>0</v>
      </c>
    </row>
    <row r="11" spans="2:33" s="2" customFormat="1" ht="48" customHeight="1" x14ac:dyDescent="0.25">
      <c r="B11" s="29" t="s">
        <v>32</v>
      </c>
      <c r="C11" s="27" t="s">
        <v>34</v>
      </c>
      <c r="D11" s="27" t="s">
        <v>180</v>
      </c>
      <c r="E11" s="27" t="s">
        <v>40</v>
      </c>
      <c r="F11" s="28">
        <v>0</v>
      </c>
      <c r="G11" s="31">
        <v>2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58">
        <f>+(G12*G96)+(X12*X96)</f>
        <v>246864612.16977844</v>
      </c>
      <c r="AB11" s="35">
        <v>15</v>
      </c>
      <c r="AC11" s="32">
        <v>0</v>
      </c>
      <c r="AD11" s="35">
        <v>1</v>
      </c>
      <c r="AE11" s="35">
        <v>1</v>
      </c>
      <c r="AF11" s="32">
        <v>0</v>
      </c>
      <c r="AG11" s="35">
        <v>3</v>
      </c>
    </row>
    <row r="12" spans="2:33" s="53" customFormat="1" ht="19.5" customHeight="1" x14ac:dyDescent="0.25">
      <c r="B12" s="165" t="s">
        <v>41</v>
      </c>
      <c r="C12" s="165"/>
      <c r="D12" s="165"/>
      <c r="E12" s="165"/>
      <c r="F12" s="85">
        <f t="shared" ref="F12:Z12" si="0">SUM(F2:F11)</f>
        <v>0</v>
      </c>
      <c r="G12" s="85">
        <f t="shared" si="0"/>
        <v>17</v>
      </c>
      <c r="H12" s="85">
        <f t="shared" si="0"/>
        <v>0</v>
      </c>
      <c r="I12" s="85">
        <f t="shared" si="0"/>
        <v>0</v>
      </c>
      <c r="J12" s="85">
        <f t="shared" si="0"/>
        <v>0</v>
      </c>
      <c r="K12" s="85">
        <f t="shared" si="0"/>
        <v>0</v>
      </c>
      <c r="L12" s="85">
        <f t="shared" si="0"/>
        <v>0</v>
      </c>
      <c r="M12" s="85">
        <f t="shared" si="0"/>
        <v>0</v>
      </c>
      <c r="N12" s="85">
        <f t="shared" si="0"/>
        <v>0</v>
      </c>
      <c r="O12" s="85">
        <f t="shared" si="0"/>
        <v>0</v>
      </c>
      <c r="P12" s="85">
        <f t="shared" si="0"/>
        <v>0</v>
      </c>
      <c r="Q12" s="85">
        <f t="shared" si="0"/>
        <v>0</v>
      </c>
      <c r="R12" s="85">
        <f t="shared" si="0"/>
        <v>0</v>
      </c>
      <c r="S12" s="85">
        <f t="shared" si="0"/>
        <v>0</v>
      </c>
      <c r="T12" s="85">
        <f t="shared" si="0"/>
        <v>0</v>
      </c>
      <c r="U12" s="85">
        <f t="shared" si="0"/>
        <v>0</v>
      </c>
      <c r="V12" s="85">
        <f t="shared" si="0"/>
        <v>0</v>
      </c>
      <c r="W12" s="85">
        <f t="shared" si="0"/>
        <v>0</v>
      </c>
      <c r="X12" s="85">
        <f t="shared" si="0"/>
        <v>1</v>
      </c>
      <c r="Y12" s="85">
        <f t="shared" si="0"/>
        <v>0</v>
      </c>
      <c r="Z12" s="85">
        <f t="shared" si="0"/>
        <v>0</v>
      </c>
      <c r="AA12" s="86">
        <f>SUM(F12:Z12)</f>
        <v>18</v>
      </c>
      <c r="AB12" s="87">
        <f t="shared" ref="AB12:AG12" si="1">SUM(AB2:AB11)</f>
        <v>83</v>
      </c>
      <c r="AC12" s="87">
        <f t="shared" si="1"/>
        <v>2</v>
      </c>
      <c r="AD12" s="87">
        <f t="shared" si="1"/>
        <v>6</v>
      </c>
      <c r="AE12" s="87">
        <f t="shared" si="1"/>
        <v>6</v>
      </c>
      <c r="AF12" s="87">
        <f t="shared" si="1"/>
        <v>1</v>
      </c>
      <c r="AG12" s="87">
        <f t="shared" si="1"/>
        <v>11</v>
      </c>
    </row>
    <row r="13" spans="2:33" s="2" customFormat="1" ht="49.5" customHeight="1" x14ac:dyDescent="0.25">
      <c r="B13" s="30" t="s">
        <v>42</v>
      </c>
      <c r="C13" s="27" t="s">
        <v>43</v>
      </c>
      <c r="D13" s="27" t="s">
        <v>181</v>
      </c>
      <c r="E13" s="27" t="s">
        <v>45</v>
      </c>
      <c r="F13" s="28">
        <v>0</v>
      </c>
      <c r="G13" s="31">
        <v>1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32">
        <v>0</v>
      </c>
    </row>
    <row r="14" spans="2:33" s="2" customFormat="1" ht="48" customHeight="1" x14ac:dyDescent="0.25">
      <c r="B14" s="29" t="s">
        <v>42</v>
      </c>
      <c r="C14" s="27" t="s">
        <v>44</v>
      </c>
      <c r="D14" s="27" t="s">
        <v>181</v>
      </c>
      <c r="E14" s="27" t="s">
        <v>45</v>
      </c>
      <c r="F14" s="31">
        <v>1</v>
      </c>
      <c r="G14" s="31">
        <v>3</v>
      </c>
      <c r="H14" s="31">
        <v>1</v>
      </c>
      <c r="I14" s="28">
        <v>0</v>
      </c>
      <c r="J14" s="28">
        <v>0</v>
      </c>
      <c r="K14" s="28">
        <v>0</v>
      </c>
      <c r="L14" s="28">
        <v>0</v>
      </c>
      <c r="M14" s="31">
        <v>1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31">
        <v>1</v>
      </c>
      <c r="Z14" s="28">
        <v>0</v>
      </c>
      <c r="AB14" s="35">
        <v>32</v>
      </c>
      <c r="AC14" s="35">
        <v>1</v>
      </c>
      <c r="AD14" s="35">
        <v>2</v>
      </c>
      <c r="AE14" s="35">
        <v>2</v>
      </c>
      <c r="AF14" s="35">
        <v>0</v>
      </c>
      <c r="AG14" s="35">
        <v>0</v>
      </c>
    </row>
    <row r="15" spans="2:33" s="2" customFormat="1" ht="48" customHeight="1" x14ac:dyDescent="0.25">
      <c r="B15" s="29" t="s">
        <v>42</v>
      </c>
      <c r="C15" s="27" t="s">
        <v>44</v>
      </c>
      <c r="D15" s="27" t="s">
        <v>152</v>
      </c>
      <c r="E15" s="27" t="s">
        <v>47</v>
      </c>
      <c r="F15" s="31">
        <v>3</v>
      </c>
      <c r="G15" s="31">
        <v>3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0</v>
      </c>
      <c r="U15" s="28">
        <v>0</v>
      </c>
      <c r="V15" s="28">
        <v>0</v>
      </c>
      <c r="W15" s="28">
        <v>0</v>
      </c>
      <c r="X15" s="28">
        <v>0</v>
      </c>
      <c r="Y15" s="28">
        <v>0</v>
      </c>
      <c r="Z15" s="28">
        <v>0</v>
      </c>
      <c r="AA15" s="58">
        <f>+AA16*0.4</f>
        <v>101478489.67262085</v>
      </c>
      <c r="AB15" s="35">
        <v>5</v>
      </c>
      <c r="AC15" s="32">
        <v>0</v>
      </c>
      <c r="AD15" s="35">
        <v>0</v>
      </c>
      <c r="AE15" s="35">
        <v>1</v>
      </c>
      <c r="AF15" s="32">
        <v>0</v>
      </c>
      <c r="AG15" s="35">
        <v>1</v>
      </c>
    </row>
    <row r="16" spans="2:33" s="2" customFormat="1" ht="48" customHeight="1" x14ac:dyDescent="0.25">
      <c r="B16" s="29" t="s">
        <v>42</v>
      </c>
      <c r="C16" s="27" t="s">
        <v>44</v>
      </c>
      <c r="D16" s="27" t="s">
        <v>146</v>
      </c>
      <c r="E16" s="27" t="s">
        <v>48</v>
      </c>
      <c r="F16" s="31">
        <v>2</v>
      </c>
      <c r="G16" s="31">
        <v>3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58">
        <f>+(F17*F96)+(G17*G96)+(H17*H96)+(M17*M96)+(P17*P96)+(Y17*Y96)</f>
        <v>253696224.18155211</v>
      </c>
      <c r="AB16" s="35">
        <v>0</v>
      </c>
      <c r="AC16" s="32">
        <v>0</v>
      </c>
      <c r="AD16" s="35">
        <v>0</v>
      </c>
      <c r="AE16" s="35">
        <v>0</v>
      </c>
      <c r="AF16" s="32">
        <v>0</v>
      </c>
      <c r="AG16" s="35">
        <v>0</v>
      </c>
    </row>
    <row r="17" spans="2:34" s="53" customFormat="1" ht="19.5" customHeight="1" x14ac:dyDescent="0.25">
      <c r="B17" s="165" t="s">
        <v>49</v>
      </c>
      <c r="C17" s="165"/>
      <c r="D17" s="165"/>
      <c r="E17" s="165"/>
      <c r="F17" s="85">
        <f t="shared" ref="F17:Z17" si="2">SUM(F13:F16)</f>
        <v>6</v>
      </c>
      <c r="G17" s="85">
        <f t="shared" si="2"/>
        <v>10</v>
      </c>
      <c r="H17" s="85">
        <f t="shared" si="2"/>
        <v>1</v>
      </c>
      <c r="I17" s="85">
        <f t="shared" si="2"/>
        <v>0</v>
      </c>
      <c r="J17" s="85">
        <f t="shared" si="2"/>
        <v>0</v>
      </c>
      <c r="K17" s="85">
        <f t="shared" si="2"/>
        <v>0</v>
      </c>
      <c r="L17" s="85">
        <f t="shared" si="2"/>
        <v>0</v>
      </c>
      <c r="M17" s="85">
        <f t="shared" si="2"/>
        <v>1</v>
      </c>
      <c r="N17" s="85">
        <f t="shared" si="2"/>
        <v>0</v>
      </c>
      <c r="O17" s="85">
        <f t="shared" si="2"/>
        <v>0</v>
      </c>
      <c r="P17" s="85">
        <f t="shared" si="2"/>
        <v>0</v>
      </c>
      <c r="Q17" s="85">
        <f t="shared" si="2"/>
        <v>0</v>
      </c>
      <c r="R17" s="85">
        <f t="shared" si="2"/>
        <v>0</v>
      </c>
      <c r="S17" s="85">
        <f t="shared" si="2"/>
        <v>0</v>
      </c>
      <c r="T17" s="85">
        <f t="shared" si="2"/>
        <v>0</v>
      </c>
      <c r="U17" s="85">
        <f t="shared" si="2"/>
        <v>0</v>
      </c>
      <c r="V17" s="85">
        <f t="shared" si="2"/>
        <v>0</v>
      </c>
      <c r="W17" s="85">
        <f t="shared" si="2"/>
        <v>0</v>
      </c>
      <c r="X17" s="85">
        <f t="shared" si="2"/>
        <v>0</v>
      </c>
      <c r="Y17" s="85">
        <f t="shared" si="2"/>
        <v>1</v>
      </c>
      <c r="Z17" s="85">
        <f t="shared" si="2"/>
        <v>0</v>
      </c>
      <c r="AA17" s="86">
        <f>SUM(F17:Z17)</f>
        <v>19</v>
      </c>
      <c r="AB17" s="87">
        <f t="shared" ref="AB17:AG17" si="3">SUM(AB13:AB16)</f>
        <v>37</v>
      </c>
      <c r="AC17" s="87">
        <f t="shared" si="3"/>
        <v>1</v>
      </c>
      <c r="AD17" s="87">
        <f t="shared" si="3"/>
        <v>2</v>
      </c>
      <c r="AE17" s="87">
        <f t="shared" si="3"/>
        <v>3</v>
      </c>
      <c r="AF17" s="87">
        <f t="shared" si="3"/>
        <v>0</v>
      </c>
      <c r="AG17" s="87">
        <f t="shared" si="3"/>
        <v>1</v>
      </c>
    </row>
    <row r="18" spans="2:34" s="2" customFormat="1" ht="43.5" customHeight="1" x14ac:dyDescent="0.25">
      <c r="B18" s="30" t="s">
        <v>50</v>
      </c>
      <c r="C18" s="27" t="s">
        <v>33</v>
      </c>
      <c r="D18" s="27" t="s">
        <v>182</v>
      </c>
      <c r="E18" s="27" t="s">
        <v>52</v>
      </c>
      <c r="F18" s="28">
        <v>0</v>
      </c>
      <c r="G18" s="31">
        <v>1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B18" s="32">
        <v>0</v>
      </c>
      <c r="AC18" s="32">
        <v>0</v>
      </c>
      <c r="AD18" s="32">
        <v>0</v>
      </c>
      <c r="AE18" s="32">
        <v>0</v>
      </c>
      <c r="AF18" s="32">
        <v>0</v>
      </c>
      <c r="AG18" s="32">
        <v>0</v>
      </c>
    </row>
    <row r="19" spans="2:34" s="2" customFormat="1" ht="48" customHeight="1" x14ac:dyDescent="0.25">
      <c r="B19" s="29" t="s">
        <v>50</v>
      </c>
      <c r="C19" s="27" t="s">
        <v>195</v>
      </c>
      <c r="D19" s="27" t="s">
        <v>182</v>
      </c>
      <c r="E19" s="27" t="s">
        <v>52</v>
      </c>
      <c r="F19" s="28">
        <v>0</v>
      </c>
      <c r="G19" s="31">
        <v>4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31">
        <v>1</v>
      </c>
      <c r="R19" s="28">
        <v>0</v>
      </c>
      <c r="S19" s="28">
        <v>0</v>
      </c>
      <c r="T19" s="28">
        <v>0</v>
      </c>
      <c r="U19" s="28">
        <v>0</v>
      </c>
      <c r="V19" s="31">
        <v>1</v>
      </c>
      <c r="W19" s="28">
        <v>0</v>
      </c>
      <c r="X19" s="28">
        <v>0</v>
      </c>
      <c r="Y19" s="28">
        <v>0</v>
      </c>
      <c r="Z19" s="28">
        <v>0</v>
      </c>
      <c r="AB19" s="35">
        <v>18</v>
      </c>
      <c r="AC19" s="32">
        <v>0</v>
      </c>
      <c r="AD19" s="35">
        <v>2</v>
      </c>
      <c r="AE19" s="35">
        <v>2</v>
      </c>
      <c r="AF19" s="35">
        <v>1</v>
      </c>
      <c r="AG19" s="32">
        <v>0</v>
      </c>
    </row>
    <row r="20" spans="2:34" s="2" customFormat="1" ht="48" customHeight="1" x14ac:dyDescent="0.25">
      <c r="B20" s="29" t="s">
        <v>50</v>
      </c>
      <c r="C20" s="27" t="s">
        <v>195</v>
      </c>
      <c r="D20" s="27" t="s">
        <v>183</v>
      </c>
      <c r="E20" s="27" t="s">
        <v>121</v>
      </c>
      <c r="F20" s="28">
        <v>0</v>
      </c>
      <c r="G20" s="31">
        <v>1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B20" s="35">
        <v>8</v>
      </c>
      <c r="AC20" s="32">
        <v>0</v>
      </c>
      <c r="AD20" s="35">
        <v>1</v>
      </c>
      <c r="AE20" s="35">
        <v>1</v>
      </c>
      <c r="AF20" s="35">
        <v>1</v>
      </c>
      <c r="AG20" s="35">
        <v>1</v>
      </c>
    </row>
    <row r="21" spans="2:34" s="2" customFormat="1" ht="48" customHeight="1" x14ac:dyDescent="0.25">
      <c r="B21" s="29" t="s">
        <v>50</v>
      </c>
      <c r="C21" s="27" t="s">
        <v>195</v>
      </c>
      <c r="D21" s="27" t="s">
        <v>153</v>
      </c>
      <c r="E21" s="27" t="s">
        <v>123</v>
      </c>
      <c r="F21" s="28">
        <v>0</v>
      </c>
      <c r="G21" s="31">
        <v>1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B21" s="35">
        <v>8</v>
      </c>
      <c r="AC21" s="32">
        <v>0</v>
      </c>
      <c r="AD21" s="35">
        <v>1</v>
      </c>
      <c r="AE21" s="35">
        <v>1</v>
      </c>
      <c r="AF21" s="35">
        <v>1</v>
      </c>
      <c r="AG21" s="35">
        <v>1</v>
      </c>
    </row>
    <row r="22" spans="2:34" s="2" customFormat="1" ht="43.5" customHeight="1" x14ac:dyDescent="0.25">
      <c r="B22" s="30" t="s">
        <v>50</v>
      </c>
      <c r="C22" s="27" t="s">
        <v>51</v>
      </c>
      <c r="D22" s="27" t="s">
        <v>53</v>
      </c>
      <c r="E22" s="27" t="s">
        <v>52</v>
      </c>
      <c r="F22" s="28">
        <v>0</v>
      </c>
      <c r="G22" s="31">
        <v>3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/>
      <c r="N22" s="28">
        <v>0</v>
      </c>
      <c r="O22" s="28">
        <v>0</v>
      </c>
      <c r="P22" s="28">
        <v>0</v>
      </c>
      <c r="Q22" s="31">
        <v>1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B22" s="35">
        <v>22</v>
      </c>
      <c r="AC22" s="32">
        <v>0</v>
      </c>
      <c r="AD22" s="35">
        <v>2</v>
      </c>
      <c r="AE22" s="35">
        <v>2</v>
      </c>
      <c r="AF22" s="35">
        <v>1</v>
      </c>
      <c r="AG22" s="32">
        <v>0</v>
      </c>
    </row>
    <row r="23" spans="2:34" s="2" customFormat="1" ht="48" customHeight="1" x14ac:dyDescent="0.25">
      <c r="B23" s="29" t="s">
        <v>50</v>
      </c>
      <c r="C23" s="27" t="s">
        <v>54</v>
      </c>
      <c r="D23" s="27" t="s">
        <v>154</v>
      </c>
      <c r="E23" s="27" t="s">
        <v>121</v>
      </c>
      <c r="F23" s="28">
        <v>0</v>
      </c>
      <c r="G23" s="31">
        <v>3</v>
      </c>
      <c r="H23" s="28">
        <v>0</v>
      </c>
      <c r="I23" s="28">
        <v>0</v>
      </c>
      <c r="J23" s="28">
        <v>0</v>
      </c>
      <c r="K23" s="28">
        <v>0</v>
      </c>
      <c r="L23" s="31">
        <v>1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B23" s="35">
        <v>12</v>
      </c>
      <c r="AC23" s="32">
        <v>0</v>
      </c>
      <c r="AD23" s="35">
        <v>1</v>
      </c>
      <c r="AE23" s="35">
        <v>1</v>
      </c>
      <c r="AF23" s="32">
        <v>0</v>
      </c>
      <c r="AG23" s="32">
        <v>0</v>
      </c>
    </row>
    <row r="24" spans="2:34" s="2" customFormat="1" ht="48" customHeight="1" x14ac:dyDescent="0.25">
      <c r="B24" s="29" t="s">
        <v>50</v>
      </c>
      <c r="C24" s="27" t="s">
        <v>54</v>
      </c>
      <c r="D24" s="27" t="s">
        <v>147</v>
      </c>
      <c r="E24" s="27" t="s">
        <v>121</v>
      </c>
      <c r="F24" s="28">
        <v>0</v>
      </c>
      <c r="G24" s="31">
        <v>2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O24" s="31">
        <v>1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B24" s="32">
        <v>0</v>
      </c>
      <c r="AC24" s="32">
        <v>0</v>
      </c>
      <c r="AD24" s="32">
        <v>0</v>
      </c>
      <c r="AE24" s="32">
        <v>0</v>
      </c>
      <c r="AF24" s="32">
        <v>0</v>
      </c>
      <c r="AG24" s="32">
        <v>0</v>
      </c>
    </row>
    <row r="25" spans="2:34" s="2" customFormat="1" ht="48" customHeight="1" x14ac:dyDescent="0.25">
      <c r="B25" s="29" t="s">
        <v>50</v>
      </c>
      <c r="C25" s="27" t="s">
        <v>54</v>
      </c>
      <c r="D25" s="27" t="s">
        <v>148</v>
      </c>
      <c r="E25" s="27" t="s">
        <v>124</v>
      </c>
      <c r="F25" s="28">
        <v>0</v>
      </c>
      <c r="G25" s="31">
        <v>1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B25" s="35">
        <v>0</v>
      </c>
      <c r="AC25" s="32">
        <v>0</v>
      </c>
      <c r="AD25" s="32">
        <v>0</v>
      </c>
      <c r="AE25" s="32">
        <v>0</v>
      </c>
      <c r="AF25" s="32">
        <v>0</v>
      </c>
      <c r="AG25" s="32">
        <v>0</v>
      </c>
    </row>
    <row r="26" spans="2:34" s="2" customFormat="1" ht="49.5" customHeight="1" x14ac:dyDescent="0.25">
      <c r="B26" s="30" t="s">
        <v>50</v>
      </c>
      <c r="C26" s="27" t="s">
        <v>55</v>
      </c>
      <c r="D26" s="27" t="s">
        <v>184</v>
      </c>
      <c r="E26" s="27" t="s">
        <v>56</v>
      </c>
      <c r="F26" s="28">
        <v>0</v>
      </c>
      <c r="G26" s="31">
        <v>2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B26" s="35">
        <v>14</v>
      </c>
      <c r="AC26" s="32">
        <v>0</v>
      </c>
      <c r="AD26" s="35">
        <v>1</v>
      </c>
      <c r="AE26" s="35">
        <v>1</v>
      </c>
      <c r="AF26" s="32">
        <v>0</v>
      </c>
      <c r="AG26" s="35">
        <v>1</v>
      </c>
    </row>
    <row r="27" spans="2:34" s="2" customFormat="1" ht="49.5" customHeight="1" x14ac:dyDescent="0.25">
      <c r="B27" s="30" t="s">
        <v>50</v>
      </c>
      <c r="C27" s="27" t="s">
        <v>55</v>
      </c>
      <c r="D27" s="27" t="s">
        <v>185</v>
      </c>
      <c r="E27" s="27" t="s">
        <v>56</v>
      </c>
      <c r="F27" s="28">
        <v>0</v>
      </c>
      <c r="G27" s="31">
        <v>1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B27" s="35">
        <v>2</v>
      </c>
      <c r="AC27" s="35">
        <v>2</v>
      </c>
      <c r="AD27" s="35">
        <v>1</v>
      </c>
      <c r="AE27" s="35">
        <v>1</v>
      </c>
      <c r="AF27" s="32">
        <v>0</v>
      </c>
      <c r="AG27" s="35">
        <v>1</v>
      </c>
    </row>
    <row r="28" spans="2:34" s="2" customFormat="1" ht="49.5" customHeight="1" x14ac:dyDescent="0.25">
      <c r="B28" s="30" t="s">
        <v>50</v>
      </c>
      <c r="C28" s="27" t="s">
        <v>55</v>
      </c>
      <c r="D28" s="27" t="s">
        <v>186</v>
      </c>
      <c r="E28" s="27" t="s">
        <v>56</v>
      </c>
      <c r="F28" s="28">
        <v>0</v>
      </c>
      <c r="G28" s="31">
        <v>1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B28" s="35">
        <v>6</v>
      </c>
      <c r="AC28" s="35">
        <v>2</v>
      </c>
      <c r="AD28" s="35">
        <v>1</v>
      </c>
      <c r="AE28" s="35">
        <v>1</v>
      </c>
      <c r="AF28" s="32">
        <v>0</v>
      </c>
      <c r="AG28" s="35">
        <v>1</v>
      </c>
    </row>
    <row r="29" spans="2:34" s="2" customFormat="1" ht="49.5" customHeight="1" x14ac:dyDescent="0.25">
      <c r="B29" s="30" t="s">
        <v>50</v>
      </c>
      <c r="C29" s="27" t="s">
        <v>55</v>
      </c>
      <c r="D29" s="27" t="s">
        <v>171</v>
      </c>
      <c r="E29" s="27" t="s">
        <v>56</v>
      </c>
      <c r="F29" s="28">
        <v>0</v>
      </c>
      <c r="G29" s="31">
        <v>1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58">
        <f>+AA31*0.4</f>
        <v>144143272.77772799</v>
      </c>
      <c r="AB29" s="35">
        <v>4</v>
      </c>
      <c r="AC29" s="35"/>
      <c r="AD29" s="32">
        <v>0</v>
      </c>
      <c r="AE29" s="32">
        <v>0</v>
      </c>
      <c r="AF29" s="32">
        <v>0</v>
      </c>
      <c r="AG29" s="32">
        <v>0</v>
      </c>
      <c r="AH29" s="32"/>
    </row>
    <row r="30" spans="2:34" s="2" customFormat="1" ht="49.5" customHeight="1" x14ac:dyDescent="0.25">
      <c r="B30" s="30" t="s">
        <v>50</v>
      </c>
      <c r="C30" s="27" t="s">
        <v>57</v>
      </c>
      <c r="D30" s="27" t="s">
        <v>187</v>
      </c>
      <c r="E30" s="27" t="s">
        <v>125</v>
      </c>
      <c r="F30" s="28">
        <v>0</v>
      </c>
      <c r="G30" s="31">
        <v>1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B30" s="35">
        <v>6</v>
      </c>
      <c r="AC30" s="32">
        <v>0</v>
      </c>
      <c r="AD30" s="35">
        <v>1</v>
      </c>
      <c r="AE30" s="35">
        <v>1</v>
      </c>
      <c r="AF30" s="32">
        <v>0</v>
      </c>
      <c r="AG30" s="35">
        <v>1</v>
      </c>
    </row>
    <row r="31" spans="2:34" s="2" customFormat="1" ht="49.5" customHeight="1" x14ac:dyDescent="0.25">
      <c r="B31" s="30" t="s">
        <v>50</v>
      </c>
      <c r="C31" s="27" t="s">
        <v>57</v>
      </c>
      <c r="D31" s="27" t="s">
        <v>149</v>
      </c>
      <c r="E31" s="27" t="s">
        <v>126</v>
      </c>
      <c r="F31" s="28">
        <v>0</v>
      </c>
      <c r="G31" s="31">
        <v>1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58">
        <f>+(G32*G96)+(L32*L96)+(O32*O96)+(Q32*Q96)+(V32*V96)</f>
        <v>360358181.94431996</v>
      </c>
      <c r="AB31" s="35">
        <v>6</v>
      </c>
      <c r="AC31" s="32">
        <v>0</v>
      </c>
      <c r="AD31" s="35"/>
      <c r="AE31" s="35">
        <v>1</v>
      </c>
      <c r="AF31" s="32">
        <v>0</v>
      </c>
      <c r="AG31" s="35">
        <v>0</v>
      </c>
    </row>
    <row r="32" spans="2:34" s="53" customFormat="1" ht="19.5" customHeight="1" x14ac:dyDescent="0.25">
      <c r="B32" s="165" t="s">
        <v>58</v>
      </c>
      <c r="C32" s="165"/>
      <c r="D32" s="165"/>
      <c r="E32" s="165"/>
      <c r="F32" s="85">
        <f t="shared" ref="F32:Z32" si="4">SUM(F18:F31)</f>
        <v>0</v>
      </c>
      <c r="G32" s="85">
        <f t="shared" si="4"/>
        <v>23</v>
      </c>
      <c r="H32" s="85">
        <f t="shared" si="4"/>
        <v>0</v>
      </c>
      <c r="I32" s="85">
        <f t="shared" si="4"/>
        <v>0</v>
      </c>
      <c r="J32" s="85">
        <f t="shared" si="4"/>
        <v>0</v>
      </c>
      <c r="K32" s="85">
        <f t="shared" si="4"/>
        <v>0</v>
      </c>
      <c r="L32" s="85">
        <f t="shared" si="4"/>
        <v>1</v>
      </c>
      <c r="M32" s="85">
        <f t="shared" si="4"/>
        <v>0</v>
      </c>
      <c r="N32" s="85">
        <f t="shared" si="4"/>
        <v>0</v>
      </c>
      <c r="O32" s="85">
        <f t="shared" si="4"/>
        <v>1</v>
      </c>
      <c r="P32" s="85">
        <f t="shared" si="4"/>
        <v>0</v>
      </c>
      <c r="Q32" s="85">
        <f t="shared" si="4"/>
        <v>2</v>
      </c>
      <c r="R32" s="85">
        <f t="shared" si="4"/>
        <v>0</v>
      </c>
      <c r="S32" s="85">
        <f t="shared" si="4"/>
        <v>0</v>
      </c>
      <c r="T32" s="85">
        <f t="shared" si="4"/>
        <v>0</v>
      </c>
      <c r="U32" s="85">
        <f t="shared" si="4"/>
        <v>0</v>
      </c>
      <c r="V32" s="85">
        <f t="shared" si="4"/>
        <v>1</v>
      </c>
      <c r="W32" s="85">
        <f t="shared" si="4"/>
        <v>0</v>
      </c>
      <c r="X32" s="85">
        <f t="shared" si="4"/>
        <v>0</v>
      </c>
      <c r="Y32" s="85">
        <f t="shared" si="4"/>
        <v>0</v>
      </c>
      <c r="Z32" s="85">
        <f t="shared" si="4"/>
        <v>0</v>
      </c>
      <c r="AA32" s="86">
        <f>SUM(F32:Z32)</f>
        <v>28</v>
      </c>
      <c r="AB32" s="87">
        <f t="shared" ref="AB32:AG32" si="5">SUM(AB18:AB31)</f>
        <v>106</v>
      </c>
      <c r="AC32" s="87">
        <f t="shared" si="5"/>
        <v>4</v>
      </c>
      <c r="AD32" s="87">
        <f t="shared" si="5"/>
        <v>11</v>
      </c>
      <c r="AE32" s="87">
        <f t="shared" si="5"/>
        <v>12</v>
      </c>
      <c r="AF32" s="87">
        <f t="shared" si="5"/>
        <v>4</v>
      </c>
      <c r="AG32" s="87">
        <f t="shared" si="5"/>
        <v>6</v>
      </c>
    </row>
    <row r="33" spans="2:33" s="2" customFormat="1" ht="48" customHeight="1" x14ac:dyDescent="0.25">
      <c r="B33" s="29" t="s">
        <v>59</v>
      </c>
      <c r="C33" s="27" t="s">
        <v>43</v>
      </c>
      <c r="D33" s="27" t="s">
        <v>60</v>
      </c>
      <c r="E33" s="27" t="s">
        <v>61</v>
      </c>
      <c r="F33" s="28">
        <v>0</v>
      </c>
      <c r="G33" s="31">
        <v>0</v>
      </c>
      <c r="H33" s="31">
        <v>1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B33" s="32">
        <v>0</v>
      </c>
      <c r="AC33" s="32">
        <v>0</v>
      </c>
      <c r="AD33" s="32">
        <v>0</v>
      </c>
      <c r="AE33" s="32">
        <v>0</v>
      </c>
      <c r="AF33" s="32">
        <v>0</v>
      </c>
      <c r="AG33" s="32">
        <v>0</v>
      </c>
    </row>
    <row r="34" spans="2:33" s="2" customFormat="1" ht="48" customHeight="1" x14ac:dyDescent="0.25">
      <c r="B34" s="29" t="s">
        <v>59</v>
      </c>
      <c r="C34" s="27" t="s">
        <v>43</v>
      </c>
      <c r="D34" s="27" t="s">
        <v>62</v>
      </c>
      <c r="E34" s="27" t="s">
        <v>61</v>
      </c>
      <c r="F34" s="28">
        <v>0</v>
      </c>
      <c r="G34" s="31">
        <v>1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31">
        <v>1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31">
        <v>1</v>
      </c>
      <c r="Z34" s="28">
        <v>0</v>
      </c>
      <c r="AB34" s="32">
        <v>0</v>
      </c>
      <c r="AC34" s="32">
        <v>0</v>
      </c>
      <c r="AD34" s="32">
        <v>0</v>
      </c>
      <c r="AE34" s="32">
        <v>0</v>
      </c>
      <c r="AF34" s="32">
        <v>0</v>
      </c>
      <c r="AG34" s="32">
        <v>0</v>
      </c>
    </row>
    <row r="35" spans="2:33" s="2" customFormat="1" ht="48" customHeight="1" x14ac:dyDescent="0.25">
      <c r="B35" s="29" t="s">
        <v>59</v>
      </c>
      <c r="C35" s="27" t="s">
        <v>43</v>
      </c>
      <c r="D35" s="27" t="s">
        <v>63</v>
      </c>
      <c r="E35" s="27" t="s">
        <v>61</v>
      </c>
      <c r="F35" s="28">
        <v>0</v>
      </c>
      <c r="G35" s="31">
        <v>2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B35" s="35">
        <v>25</v>
      </c>
      <c r="AC35" s="35">
        <v>2</v>
      </c>
      <c r="AD35" s="35">
        <v>3</v>
      </c>
      <c r="AE35" s="35">
        <v>1</v>
      </c>
      <c r="AF35" s="32">
        <v>0</v>
      </c>
      <c r="AG35" s="32">
        <v>0</v>
      </c>
    </row>
    <row r="36" spans="2:33" s="2" customFormat="1" ht="48" customHeight="1" x14ac:dyDescent="0.25">
      <c r="B36" s="29" t="s">
        <v>59</v>
      </c>
      <c r="C36" s="27" t="s">
        <v>43</v>
      </c>
      <c r="D36" s="27" t="s">
        <v>64</v>
      </c>
      <c r="E36" s="27" t="s">
        <v>61</v>
      </c>
      <c r="F36" s="28">
        <v>0</v>
      </c>
      <c r="G36" s="31">
        <v>1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B36" s="35">
        <v>10</v>
      </c>
      <c r="AC36" s="35">
        <v>2</v>
      </c>
      <c r="AD36" s="32">
        <v>0</v>
      </c>
      <c r="AE36" s="32">
        <v>0</v>
      </c>
      <c r="AF36" s="32">
        <v>0</v>
      </c>
      <c r="AG36" s="32">
        <v>0</v>
      </c>
    </row>
    <row r="37" spans="2:33" s="2" customFormat="1" ht="48" customHeight="1" x14ac:dyDescent="0.25">
      <c r="B37" s="29" t="s">
        <v>59</v>
      </c>
      <c r="C37" s="27" t="s">
        <v>43</v>
      </c>
      <c r="D37" s="27" t="s">
        <v>65</v>
      </c>
      <c r="E37" s="27" t="s">
        <v>61</v>
      </c>
      <c r="F37" s="28"/>
      <c r="G37" s="31">
        <v>1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B37" s="32">
        <v>0</v>
      </c>
      <c r="AC37" s="32">
        <v>0</v>
      </c>
      <c r="AD37" s="32">
        <v>0</v>
      </c>
      <c r="AE37" s="32">
        <v>0</v>
      </c>
      <c r="AF37" s="32">
        <v>0</v>
      </c>
      <c r="AG37" s="32">
        <v>0</v>
      </c>
    </row>
    <row r="38" spans="2:33" s="2" customFormat="1" ht="49.5" customHeight="1" x14ac:dyDescent="0.25">
      <c r="B38" s="29" t="s">
        <v>59</v>
      </c>
      <c r="C38" s="27" t="s">
        <v>66</v>
      </c>
      <c r="D38" s="27" t="s">
        <v>67</v>
      </c>
      <c r="E38" s="27" t="s">
        <v>61</v>
      </c>
      <c r="F38" s="28">
        <v>0</v>
      </c>
      <c r="G38" s="31">
        <v>3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31">
        <v>1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B38" s="35">
        <v>13</v>
      </c>
      <c r="AC38" s="35">
        <v>1</v>
      </c>
      <c r="AD38" s="32">
        <v>0</v>
      </c>
      <c r="AE38" s="32">
        <v>0</v>
      </c>
      <c r="AF38" s="32">
        <v>0</v>
      </c>
      <c r="AG38" s="35">
        <v>2</v>
      </c>
    </row>
    <row r="39" spans="2:33" s="2" customFormat="1" ht="49.5" customHeight="1" x14ac:dyDescent="0.25">
      <c r="B39" s="29" t="s">
        <v>59</v>
      </c>
      <c r="C39" s="27" t="s">
        <v>66</v>
      </c>
      <c r="D39" s="27" t="s">
        <v>68</v>
      </c>
      <c r="E39" s="27" t="s">
        <v>61</v>
      </c>
      <c r="F39" s="28">
        <v>0</v>
      </c>
      <c r="G39" s="31">
        <v>1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31">
        <v>1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B39" s="35">
        <v>11</v>
      </c>
      <c r="AC39" s="32">
        <v>0</v>
      </c>
      <c r="AD39" s="32">
        <v>0</v>
      </c>
      <c r="AE39" s="32">
        <v>0</v>
      </c>
      <c r="AF39" s="32">
        <v>0</v>
      </c>
      <c r="AG39" s="35">
        <v>3</v>
      </c>
    </row>
    <row r="40" spans="2:33" s="2" customFormat="1" ht="49.5" customHeight="1" x14ac:dyDescent="0.25">
      <c r="B40" s="29" t="s">
        <v>59</v>
      </c>
      <c r="C40" s="27" t="s">
        <v>66</v>
      </c>
      <c r="D40" s="27" t="s">
        <v>69</v>
      </c>
      <c r="E40" s="27" t="s">
        <v>61</v>
      </c>
      <c r="F40" s="28">
        <v>0</v>
      </c>
      <c r="G40" s="31">
        <v>2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B40" s="35">
        <v>9</v>
      </c>
      <c r="AC40" s="35">
        <v>1</v>
      </c>
      <c r="AD40" s="35">
        <v>1</v>
      </c>
      <c r="AE40" s="35">
        <v>1</v>
      </c>
      <c r="AF40" s="32">
        <v>0</v>
      </c>
      <c r="AG40" s="35">
        <v>4</v>
      </c>
    </row>
    <row r="41" spans="2:33" s="2" customFormat="1" ht="49.5" customHeight="1" x14ac:dyDescent="0.25">
      <c r="B41" s="29" t="s">
        <v>59</v>
      </c>
      <c r="C41" s="27" t="s">
        <v>66</v>
      </c>
      <c r="D41" s="27" t="s">
        <v>188</v>
      </c>
      <c r="E41" s="27" t="s">
        <v>61</v>
      </c>
      <c r="F41" s="28">
        <v>0</v>
      </c>
      <c r="G41" s="31">
        <v>3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B41" s="35">
        <v>11</v>
      </c>
      <c r="AC41" s="35">
        <v>1</v>
      </c>
      <c r="AD41" s="35">
        <v>1</v>
      </c>
      <c r="AE41" s="35">
        <v>1</v>
      </c>
      <c r="AF41" s="32">
        <v>0</v>
      </c>
      <c r="AG41" s="35">
        <v>3</v>
      </c>
    </row>
    <row r="42" spans="2:33" s="2" customFormat="1" ht="49.5" customHeight="1" x14ac:dyDescent="0.25">
      <c r="B42" s="29" t="s">
        <v>59</v>
      </c>
      <c r="C42" s="27" t="s">
        <v>66</v>
      </c>
      <c r="D42" s="27" t="s">
        <v>189</v>
      </c>
      <c r="E42" s="27" t="s">
        <v>70</v>
      </c>
      <c r="F42" s="28">
        <v>0</v>
      </c>
      <c r="G42" s="31">
        <v>2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B42" s="35">
        <v>13</v>
      </c>
      <c r="AC42" s="35">
        <v>1</v>
      </c>
      <c r="AD42" s="35">
        <v>1</v>
      </c>
      <c r="AE42" s="35">
        <v>1</v>
      </c>
      <c r="AF42" s="32">
        <v>0</v>
      </c>
      <c r="AG42" s="35">
        <v>2</v>
      </c>
    </row>
    <row r="43" spans="2:33" s="2" customFormat="1" ht="49.5" customHeight="1" x14ac:dyDescent="0.25">
      <c r="B43" s="29" t="s">
        <v>59</v>
      </c>
      <c r="C43" s="27" t="s">
        <v>66</v>
      </c>
      <c r="D43" s="27" t="s">
        <v>190</v>
      </c>
      <c r="E43" s="27" t="s">
        <v>71</v>
      </c>
      <c r="F43" s="28">
        <v>0</v>
      </c>
      <c r="G43" s="31">
        <v>1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B43" s="35">
        <v>8</v>
      </c>
      <c r="AC43" s="35">
        <v>1</v>
      </c>
      <c r="AD43" s="35">
        <v>1</v>
      </c>
      <c r="AE43" s="35">
        <v>1</v>
      </c>
      <c r="AF43" s="32">
        <v>0</v>
      </c>
      <c r="AG43" s="35">
        <v>1</v>
      </c>
    </row>
    <row r="44" spans="2:33" s="2" customFormat="1" ht="49.5" customHeight="1" x14ac:dyDescent="0.25">
      <c r="B44" s="29" t="s">
        <v>59</v>
      </c>
      <c r="C44" s="27" t="s">
        <v>66</v>
      </c>
      <c r="D44" s="27" t="s">
        <v>72</v>
      </c>
      <c r="E44" s="27" t="s">
        <v>73</v>
      </c>
      <c r="F44" s="28">
        <v>0</v>
      </c>
      <c r="G44" s="31">
        <v>1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B44" s="32">
        <v>0</v>
      </c>
      <c r="AC44" s="32">
        <v>0</v>
      </c>
      <c r="AD44" s="32">
        <v>0</v>
      </c>
      <c r="AE44" s="32">
        <v>0</v>
      </c>
      <c r="AF44" s="32">
        <v>0</v>
      </c>
      <c r="AG44" s="32">
        <v>0</v>
      </c>
    </row>
    <row r="45" spans="2:33" s="2" customFormat="1" ht="43.5" customHeight="1" x14ac:dyDescent="0.25">
      <c r="B45" s="29" t="s">
        <v>59</v>
      </c>
      <c r="C45" s="27" t="s">
        <v>155</v>
      </c>
      <c r="D45" s="27" t="s">
        <v>191</v>
      </c>
      <c r="E45" s="27" t="s">
        <v>71</v>
      </c>
      <c r="F45" s="28">
        <v>0</v>
      </c>
      <c r="G45" s="31">
        <v>2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58">
        <f>+AA47*0.4</f>
        <v>167340709.4468562</v>
      </c>
      <c r="AB45" s="35">
        <v>8</v>
      </c>
      <c r="AC45" s="35">
        <v>1</v>
      </c>
      <c r="AD45" s="35">
        <v>1</v>
      </c>
      <c r="AE45" s="35">
        <v>1</v>
      </c>
      <c r="AF45" s="32">
        <v>0</v>
      </c>
      <c r="AG45" s="35">
        <v>3</v>
      </c>
    </row>
    <row r="46" spans="2:33" s="2" customFormat="1" ht="43.5" customHeight="1" x14ac:dyDescent="0.25">
      <c r="B46" s="29" t="s">
        <v>59</v>
      </c>
      <c r="C46" s="27" t="s">
        <v>155</v>
      </c>
      <c r="D46" s="27" t="s">
        <v>172</v>
      </c>
      <c r="E46" s="27" t="s">
        <v>61</v>
      </c>
      <c r="F46" s="28">
        <v>0</v>
      </c>
      <c r="G46" s="31">
        <v>3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B46" s="32">
        <v>0</v>
      </c>
      <c r="AC46" s="32">
        <v>0</v>
      </c>
      <c r="AD46" s="32">
        <v>0</v>
      </c>
      <c r="AE46" s="32">
        <v>0</v>
      </c>
      <c r="AF46" s="32">
        <v>0</v>
      </c>
      <c r="AG46" s="32">
        <v>0</v>
      </c>
    </row>
    <row r="47" spans="2:33" s="2" customFormat="1" ht="43.5" customHeight="1" x14ac:dyDescent="0.25">
      <c r="B47" s="29" t="s">
        <v>59</v>
      </c>
      <c r="C47" s="27" t="s">
        <v>155</v>
      </c>
      <c r="D47" s="27" t="s">
        <v>173</v>
      </c>
      <c r="E47" s="27" t="s">
        <v>127</v>
      </c>
      <c r="F47" s="28">
        <v>0</v>
      </c>
      <c r="G47" s="31">
        <v>4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58">
        <f>+(G48*G96)+(H48*H96)+(P48*P96)+(Q48*Q96)+(Y48*Y96)</f>
        <v>418351773.61714047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32">
        <v>0</v>
      </c>
    </row>
    <row r="48" spans="2:33" s="53" customFormat="1" ht="19.5" customHeight="1" x14ac:dyDescent="0.25">
      <c r="B48" s="165" t="s">
        <v>74</v>
      </c>
      <c r="C48" s="165"/>
      <c r="D48" s="165"/>
      <c r="E48" s="165"/>
      <c r="F48" s="85">
        <f t="shared" ref="F48:Z48" si="6">SUM(F33:F47)</f>
        <v>0</v>
      </c>
      <c r="G48" s="85">
        <f t="shared" si="6"/>
        <v>27</v>
      </c>
      <c r="H48" s="85">
        <f t="shared" si="6"/>
        <v>1</v>
      </c>
      <c r="I48" s="85">
        <f t="shared" si="6"/>
        <v>0</v>
      </c>
      <c r="J48" s="85">
        <f t="shared" si="6"/>
        <v>0</v>
      </c>
      <c r="K48" s="85">
        <f t="shared" si="6"/>
        <v>0</v>
      </c>
      <c r="L48" s="85">
        <f t="shared" si="6"/>
        <v>0</v>
      </c>
      <c r="M48" s="85">
        <f t="shared" si="6"/>
        <v>0</v>
      </c>
      <c r="N48" s="85">
        <f t="shared" si="6"/>
        <v>0</v>
      </c>
      <c r="O48" s="85">
        <f t="shared" si="6"/>
        <v>0</v>
      </c>
      <c r="P48" s="85">
        <f t="shared" si="6"/>
        <v>1</v>
      </c>
      <c r="Q48" s="85">
        <f t="shared" si="6"/>
        <v>2</v>
      </c>
      <c r="R48" s="85">
        <f t="shared" si="6"/>
        <v>0</v>
      </c>
      <c r="S48" s="85">
        <f t="shared" si="6"/>
        <v>0</v>
      </c>
      <c r="T48" s="85">
        <f t="shared" si="6"/>
        <v>0</v>
      </c>
      <c r="U48" s="85">
        <f t="shared" si="6"/>
        <v>0</v>
      </c>
      <c r="V48" s="85">
        <f t="shared" si="6"/>
        <v>0</v>
      </c>
      <c r="W48" s="85">
        <f t="shared" si="6"/>
        <v>0</v>
      </c>
      <c r="X48" s="85">
        <f t="shared" si="6"/>
        <v>0</v>
      </c>
      <c r="Y48" s="85">
        <f t="shared" si="6"/>
        <v>1</v>
      </c>
      <c r="Z48" s="85">
        <f t="shared" si="6"/>
        <v>0</v>
      </c>
      <c r="AA48" s="86">
        <f>SUM(F48:Z48)</f>
        <v>32</v>
      </c>
      <c r="AB48" s="87">
        <f>SUM(AB33:AB47)</f>
        <v>108</v>
      </c>
      <c r="AC48" s="87">
        <f t="shared" ref="AC48:AG48" si="7">SUM(AC33:AC47)</f>
        <v>10</v>
      </c>
      <c r="AD48" s="87">
        <f t="shared" si="7"/>
        <v>8</v>
      </c>
      <c r="AE48" s="87">
        <f t="shared" si="7"/>
        <v>6</v>
      </c>
      <c r="AF48" s="87">
        <f t="shared" si="7"/>
        <v>0</v>
      </c>
      <c r="AG48" s="87">
        <f t="shared" si="7"/>
        <v>18</v>
      </c>
    </row>
    <row r="49" spans="2:33" s="2" customFormat="1" ht="49.5" customHeight="1" x14ac:dyDescent="0.25">
      <c r="B49" s="29" t="s">
        <v>75</v>
      </c>
      <c r="C49" s="27" t="s">
        <v>198</v>
      </c>
      <c r="D49" s="27" t="s">
        <v>196</v>
      </c>
      <c r="E49" s="27" t="s">
        <v>128</v>
      </c>
      <c r="F49" s="28">
        <v>0</v>
      </c>
      <c r="G49" s="31">
        <v>5</v>
      </c>
      <c r="H49" s="31">
        <v>1</v>
      </c>
      <c r="I49" s="28"/>
      <c r="J49" s="28"/>
      <c r="K49" s="28"/>
      <c r="L49" s="28">
        <v>0</v>
      </c>
      <c r="M49" s="28">
        <v>0</v>
      </c>
      <c r="N49" s="28">
        <v>0</v>
      </c>
      <c r="O49" s="28">
        <v>0</v>
      </c>
      <c r="P49" s="31">
        <v>1</v>
      </c>
      <c r="Q49" s="28">
        <v>0</v>
      </c>
      <c r="R49" s="28">
        <v>0</v>
      </c>
      <c r="S49" s="28">
        <v>0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B49" s="35">
        <v>45</v>
      </c>
      <c r="AC49" s="35">
        <v>2</v>
      </c>
      <c r="AD49" s="35">
        <v>2</v>
      </c>
      <c r="AE49" s="35">
        <v>2</v>
      </c>
      <c r="AF49" s="32">
        <v>0</v>
      </c>
      <c r="AG49" s="35">
        <v>1</v>
      </c>
    </row>
    <row r="50" spans="2:33" s="2" customFormat="1" ht="43.5" customHeight="1" x14ac:dyDescent="0.25">
      <c r="B50" s="29" t="s">
        <v>75</v>
      </c>
      <c r="C50" s="27" t="s">
        <v>198</v>
      </c>
      <c r="D50" s="27" t="s">
        <v>76</v>
      </c>
      <c r="E50" s="27" t="s">
        <v>128</v>
      </c>
      <c r="F50" s="28">
        <v>0</v>
      </c>
      <c r="G50" s="31">
        <v>1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  <c r="P50" s="31">
        <v>1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B50" s="35">
        <v>6</v>
      </c>
      <c r="AC50" s="35">
        <v>1</v>
      </c>
      <c r="AD50" s="35">
        <v>1</v>
      </c>
      <c r="AE50" s="35">
        <v>1</v>
      </c>
      <c r="AF50" s="32">
        <v>0</v>
      </c>
      <c r="AG50" s="35">
        <v>1</v>
      </c>
    </row>
    <row r="51" spans="2:33" s="2" customFormat="1" ht="43.5" customHeight="1" x14ac:dyDescent="0.25">
      <c r="B51" s="29" t="s">
        <v>75</v>
      </c>
      <c r="C51" s="27" t="s">
        <v>198</v>
      </c>
      <c r="D51" s="27" t="s">
        <v>156</v>
      </c>
      <c r="E51" s="27" t="s">
        <v>128</v>
      </c>
      <c r="F51" s="28">
        <v>0</v>
      </c>
      <c r="G51" s="31">
        <v>3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B51" s="35">
        <f>25</f>
        <v>25</v>
      </c>
      <c r="AC51" s="32">
        <v>0</v>
      </c>
      <c r="AD51" s="35">
        <f>2</f>
        <v>2</v>
      </c>
      <c r="AE51" s="35">
        <v>2</v>
      </c>
      <c r="AF51" s="32">
        <v>0</v>
      </c>
      <c r="AG51" s="35">
        <v>1</v>
      </c>
    </row>
    <row r="52" spans="2:33" s="2" customFormat="1" ht="49.5" customHeight="1" x14ac:dyDescent="0.25">
      <c r="B52" s="29" t="s">
        <v>75</v>
      </c>
      <c r="C52" s="27" t="s">
        <v>169</v>
      </c>
      <c r="D52" s="27" t="s">
        <v>157</v>
      </c>
      <c r="E52" s="27" t="s">
        <v>128</v>
      </c>
      <c r="F52" s="28">
        <v>0</v>
      </c>
      <c r="G52" s="31">
        <v>5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B52" s="35">
        <v>25</v>
      </c>
      <c r="AC52" s="35">
        <v>1</v>
      </c>
      <c r="AD52" s="35">
        <v>1</v>
      </c>
      <c r="AE52" s="35">
        <v>1</v>
      </c>
      <c r="AF52" s="32">
        <v>0</v>
      </c>
      <c r="AG52" s="35">
        <v>1</v>
      </c>
    </row>
    <row r="53" spans="2:33" s="2" customFormat="1" ht="43.5" customHeight="1" x14ac:dyDescent="0.25">
      <c r="B53" s="29" t="s">
        <v>75</v>
      </c>
      <c r="C53" s="27" t="s">
        <v>198</v>
      </c>
      <c r="D53" s="27" t="s">
        <v>170</v>
      </c>
      <c r="E53" s="27" t="s">
        <v>159</v>
      </c>
      <c r="F53" s="28">
        <v>0</v>
      </c>
      <c r="G53" s="31">
        <v>3</v>
      </c>
      <c r="H53" s="31">
        <v>1</v>
      </c>
      <c r="I53" s="28"/>
      <c r="J53" s="28"/>
      <c r="K53" s="28"/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58">
        <f>+AA55*0.4</f>
        <v>158078842.74681845</v>
      </c>
      <c r="AB53" s="32">
        <v>0</v>
      </c>
      <c r="AC53" s="32">
        <v>0</v>
      </c>
      <c r="AD53" s="32">
        <v>0</v>
      </c>
      <c r="AE53" s="32">
        <v>0</v>
      </c>
      <c r="AF53" s="32">
        <v>0</v>
      </c>
      <c r="AG53" s="32">
        <v>0</v>
      </c>
    </row>
    <row r="54" spans="2:33" s="2" customFormat="1" ht="49.5" customHeight="1" x14ac:dyDescent="0.25">
      <c r="B54" s="29" t="s">
        <v>75</v>
      </c>
      <c r="C54" s="27" t="s">
        <v>169</v>
      </c>
      <c r="D54" s="27" t="s">
        <v>158</v>
      </c>
      <c r="E54" s="27" t="s">
        <v>129</v>
      </c>
      <c r="F54" s="28">
        <v>0</v>
      </c>
      <c r="G54" s="31">
        <v>7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B54" s="35">
        <v>15</v>
      </c>
      <c r="AC54" s="35">
        <v>1</v>
      </c>
      <c r="AD54" s="35">
        <v>1</v>
      </c>
      <c r="AE54" s="35">
        <v>1</v>
      </c>
      <c r="AF54" s="32">
        <v>0</v>
      </c>
      <c r="AG54" s="35">
        <v>1</v>
      </c>
    </row>
    <row r="55" spans="2:33" s="2" customFormat="1" ht="49.5" customHeight="1" x14ac:dyDescent="0.25">
      <c r="B55" s="29" t="s">
        <v>75</v>
      </c>
      <c r="C55" s="27" t="s">
        <v>169</v>
      </c>
      <c r="D55" s="27" t="s">
        <v>174</v>
      </c>
      <c r="E55" s="27" t="s">
        <v>129</v>
      </c>
      <c r="F55" s="28">
        <v>0</v>
      </c>
      <c r="G55" s="31">
        <v>1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58">
        <f>+(G56*G96)+(H56*H96)+(P56*P96)</f>
        <v>395197106.86704612</v>
      </c>
      <c r="AB55" s="35">
        <v>5</v>
      </c>
      <c r="AC55" s="35">
        <v>0</v>
      </c>
      <c r="AD55" s="35">
        <v>1</v>
      </c>
      <c r="AE55" s="35">
        <v>1</v>
      </c>
      <c r="AF55" s="32">
        <v>0</v>
      </c>
      <c r="AG55" s="35">
        <v>1</v>
      </c>
    </row>
    <row r="56" spans="2:33" s="53" customFormat="1" ht="19.5" customHeight="1" x14ac:dyDescent="0.25">
      <c r="B56" s="165" t="s">
        <v>77</v>
      </c>
      <c r="C56" s="165"/>
      <c r="D56" s="165"/>
      <c r="E56" s="165"/>
      <c r="F56" s="85">
        <f>SUM(F49:F55)</f>
        <v>0</v>
      </c>
      <c r="G56" s="98">
        <f>SUM(G49:G55)</f>
        <v>25</v>
      </c>
      <c r="H56" s="98">
        <f t="shared" ref="H56:Z56" si="8">SUM(H49:H55)</f>
        <v>2</v>
      </c>
      <c r="I56" s="98">
        <f t="shared" si="8"/>
        <v>0</v>
      </c>
      <c r="J56" s="98">
        <f t="shared" si="8"/>
        <v>0</v>
      </c>
      <c r="K56" s="98">
        <f t="shared" si="8"/>
        <v>0</v>
      </c>
      <c r="L56" s="98">
        <f t="shared" si="8"/>
        <v>0</v>
      </c>
      <c r="M56" s="98">
        <f t="shared" si="8"/>
        <v>0</v>
      </c>
      <c r="N56" s="98">
        <f t="shared" si="8"/>
        <v>0</v>
      </c>
      <c r="O56" s="98">
        <f t="shared" si="8"/>
        <v>0</v>
      </c>
      <c r="P56" s="98">
        <f t="shared" si="8"/>
        <v>2</v>
      </c>
      <c r="Q56" s="85">
        <f t="shared" si="8"/>
        <v>0</v>
      </c>
      <c r="R56" s="85">
        <f t="shared" si="8"/>
        <v>0</v>
      </c>
      <c r="S56" s="85">
        <f t="shared" si="8"/>
        <v>0</v>
      </c>
      <c r="T56" s="85">
        <f t="shared" si="8"/>
        <v>0</v>
      </c>
      <c r="U56" s="85">
        <f t="shared" si="8"/>
        <v>0</v>
      </c>
      <c r="V56" s="85">
        <f t="shared" si="8"/>
        <v>0</v>
      </c>
      <c r="W56" s="85">
        <f t="shared" si="8"/>
        <v>0</v>
      </c>
      <c r="X56" s="85">
        <f t="shared" si="8"/>
        <v>0</v>
      </c>
      <c r="Y56" s="85">
        <f t="shared" si="8"/>
        <v>0</v>
      </c>
      <c r="Z56" s="85">
        <f t="shared" si="8"/>
        <v>0</v>
      </c>
      <c r="AA56" s="86">
        <f>SUM(F56:Z56)</f>
        <v>29</v>
      </c>
      <c r="AB56" s="87">
        <f>SUM(AB49:AB55)</f>
        <v>121</v>
      </c>
      <c r="AC56" s="87">
        <f t="shared" ref="AC56:AG56" si="9">SUM(AC49:AC55)</f>
        <v>5</v>
      </c>
      <c r="AD56" s="87">
        <f t="shared" si="9"/>
        <v>8</v>
      </c>
      <c r="AE56" s="87">
        <f t="shared" si="9"/>
        <v>8</v>
      </c>
      <c r="AF56" s="87">
        <f t="shared" si="9"/>
        <v>0</v>
      </c>
      <c r="AG56" s="87">
        <f t="shared" si="9"/>
        <v>6</v>
      </c>
    </row>
    <row r="57" spans="2:33" s="2" customFormat="1" ht="49.5" customHeight="1" x14ac:dyDescent="0.25">
      <c r="B57" s="29" t="s">
        <v>78</v>
      </c>
      <c r="C57" s="27" t="s">
        <v>33</v>
      </c>
      <c r="D57" s="27" t="s">
        <v>160</v>
      </c>
      <c r="E57" s="27" t="s">
        <v>119</v>
      </c>
      <c r="F57" s="28">
        <v>0</v>
      </c>
      <c r="G57" s="31">
        <v>5</v>
      </c>
      <c r="H57" s="28">
        <v>0</v>
      </c>
      <c r="I57" s="28">
        <v>0</v>
      </c>
      <c r="J57" s="28">
        <v>0</v>
      </c>
      <c r="K57" s="28">
        <v>0</v>
      </c>
      <c r="L57" s="28">
        <v>0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B57" s="35">
        <v>26</v>
      </c>
      <c r="AC57" s="35">
        <v>3</v>
      </c>
      <c r="AD57" s="35">
        <v>1</v>
      </c>
      <c r="AE57" s="35">
        <v>1</v>
      </c>
      <c r="AF57" s="35">
        <v>1</v>
      </c>
      <c r="AG57" s="35">
        <v>2</v>
      </c>
    </row>
    <row r="58" spans="2:33" s="2" customFormat="1" ht="49.5" customHeight="1" x14ac:dyDescent="0.25">
      <c r="B58" s="29" t="s">
        <v>78</v>
      </c>
      <c r="C58" s="27" t="s">
        <v>43</v>
      </c>
      <c r="D58" s="27" t="s">
        <v>164</v>
      </c>
      <c r="E58" s="27" t="s">
        <v>119</v>
      </c>
      <c r="F58" s="28">
        <v>0</v>
      </c>
      <c r="G58" s="31">
        <v>1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B58" s="32">
        <v>0</v>
      </c>
      <c r="AC58" s="32">
        <v>0</v>
      </c>
      <c r="AD58" s="32">
        <v>0</v>
      </c>
      <c r="AE58" s="32">
        <v>0</v>
      </c>
      <c r="AF58" s="32">
        <v>0</v>
      </c>
      <c r="AG58" s="32">
        <v>0</v>
      </c>
    </row>
    <row r="59" spans="2:33" s="2" customFormat="1" ht="44.25" customHeight="1" x14ac:dyDescent="0.25">
      <c r="B59" s="30" t="s">
        <v>78</v>
      </c>
      <c r="C59" s="27" t="s">
        <v>79</v>
      </c>
      <c r="D59" s="27" t="s">
        <v>161</v>
      </c>
      <c r="E59" s="27" t="s">
        <v>119</v>
      </c>
      <c r="F59" s="28">
        <v>0</v>
      </c>
      <c r="G59" s="36">
        <v>1</v>
      </c>
      <c r="H59" s="31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B59" s="32">
        <v>0</v>
      </c>
      <c r="AC59" s="32">
        <v>0</v>
      </c>
      <c r="AD59" s="32">
        <v>0</v>
      </c>
      <c r="AE59" s="32">
        <v>0</v>
      </c>
      <c r="AF59" s="32">
        <v>0</v>
      </c>
      <c r="AG59" s="32">
        <v>0</v>
      </c>
    </row>
    <row r="60" spans="2:33" s="2" customFormat="1" ht="44.25" customHeight="1" x14ac:dyDescent="0.25">
      <c r="B60" s="30" t="s">
        <v>78</v>
      </c>
      <c r="C60" s="27" t="s">
        <v>79</v>
      </c>
      <c r="D60" s="27" t="s">
        <v>162</v>
      </c>
      <c r="E60" s="27" t="s">
        <v>119</v>
      </c>
      <c r="F60" s="28">
        <v>0</v>
      </c>
      <c r="G60" s="36">
        <v>3</v>
      </c>
      <c r="H60" s="31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B60" s="35">
        <v>16</v>
      </c>
      <c r="AC60" s="32">
        <v>0</v>
      </c>
      <c r="AD60" s="35">
        <v>1</v>
      </c>
      <c r="AE60" s="35">
        <v>1</v>
      </c>
      <c r="AF60" s="35">
        <v>1</v>
      </c>
      <c r="AG60" s="35">
        <v>1</v>
      </c>
    </row>
    <row r="61" spans="2:33" s="2" customFormat="1" ht="44.25" customHeight="1" x14ac:dyDescent="0.25">
      <c r="B61" s="30" t="s">
        <v>78</v>
      </c>
      <c r="C61" s="27" t="s">
        <v>79</v>
      </c>
      <c r="D61" s="27" t="s">
        <v>163</v>
      </c>
      <c r="E61" s="27" t="s">
        <v>119</v>
      </c>
      <c r="F61" s="28">
        <v>0</v>
      </c>
      <c r="G61" s="36">
        <v>1</v>
      </c>
      <c r="H61" s="31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B61" s="32">
        <v>0</v>
      </c>
      <c r="AC61" s="32">
        <v>0</v>
      </c>
      <c r="AD61" s="32">
        <v>0</v>
      </c>
      <c r="AE61" s="32">
        <v>0</v>
      </c>
      <c r="AF61" s="32">
        <v>0</v>
      </c>
      <c r="AG61" s="32">
        <v>0</v>
      </c>
    </row>
    <row r="62" spans="2:33" s="2" customFormat="1" ht="44.25" customHeight="1" x14ac:dyDescent="0.25">
      <c r="B62" s="30" t="s">
        <v>78</v>
      </c>
      <c r="C62" s="27" t="s">
        <v>79</v>
      </c>
      <c r="D62" s="27" t="s">
        <v>80</v>
      </c>
      <c r="E62" s="27" t="s">
        <v>119</v>
      </c>
      <c r="F62" s="28">
        <v>0</v>
      </c>
      <c r="G62" s="36">
        <v>2</v>
      </c>
      <c r="H62" s="31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B62" s="35">
        <v>23</v>
      </c>
      <c r="AC62" s="32">
        <v>0</v>
      </c>
      <c r="AD62" s="35">
        <v>1</v>
      </c>
      <c r="AE62" s="35">
        <v>1</v>
      </c>
      <c r="AF62" s="35">
        <v>1</v>
      </c>
      <c r="AG62" s="35">
        <v>1</v>
      </c>
    </row>
    <row r="63" spans="2:33" s="2" customFormat="1" ht="49.5" customHeight="1" x14ac:dyDescent="0.25">
      <c r="B63" s="29" t="s">
        <v>78</v>
      </c>
      <c r="C63" s="27" t="s">
        <v>81</v>
      </c>
      <c r="D63" s="27" t="s">
        <v>82</v>
      </c>
      <c r="E63" s="27" t="s">
        <v>130</v>
      </c>
      <c r="F63" s="28">
        <v>0</v>
      </c>
      <c r="G63" s="31">
        <v>4</v>
      </c>
      <c r="H63" s="28">
        <v>0</v>
      </c>
      <c r="I63" s="28">
        <v>0</v>
      </c>
      <c r="J63" s="28">
        <v>0</v>
      </c>
      <c r="K63" s="28">
        <v>0</v>
      </c>
      <c r="L63" s="31">
        <v>1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31">
        <v>1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B63" s="35">
        <v>25</v>
      </c>
      <c r="AC63" s="35">
        <v>4</v>
      </c>
      <c r="AD63" s="35">
        <v>2</v>
      </c>
      <c r="AE63" s="35">
        <v>2</v>
      </c>
      <c r="AF63" s="35">
        <v>0</v>
      </c>
      <c r="AG63" s="35">
        <v>5</v>
      </c>
    </row>
    <row r="64" spans="2:33" s="2" customFormat="1" ht="49.5" customHeight="1" x14ac:dyDescent="0.25">
      <c r="B64" s="29" t="s">
        <v>78</v>
      </c>
      <c r="C64" s="27" t="s">
        <v>83</v>
      </c>
      <c r="D64" s="27" t="s">
        <v>141</v>
      </c>
      <c r="E64" s="27" t="s">
        <v>131</v>
      </c>
      <c r="F64" s="31">
        <v>2</v>
      </c>
      <c r="G64" s="31">
        <v>3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B64" s="35">
        <v>14</v>
      </c>
      <c r="AC64" s="35">
        <v>4</v>
      </c>
      <c r="AD64" s="35">
        <v>1</v>
      </c>
      <c r="AE64" s="35">
        <v>1</v>
      </c>
      <c r="AF64" s="35">
        <v>0</v>
      </c>
      <c r="AG64" s="35">
        <v>5</v>
      </c>
    </row>
    <row r="65" spans="2:33" s="2" customFormat="1" ht="44.25" customHeight="1" x14ac:dyDescent="0.25">
      <c r="B65" s="30" t="s">
        <v>78</v>
      </c>
      <c r="C65" s="27" t="s">
        <v>84</v>
      </c>
      <c r="D65" s="27" t="s">
        <v>85</v>
      </c>
      <c r="E65" s="27" t="s">
        <v>132</v>
      </c>
      <c r="F65" s="36">
        <v>1</v>
      </c>
      <c r="G65" s="36">
        <v>5</v>
      </c>
      <c r="H65" s="31">
        <v>1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B65" s="35">
        <v>67</v>
      </c>
      <c r="AC65" s="35">
        <v>2</v>
      </c>
      <c r="AD65" s="35">
        <v>3</v>
      </c>
      <c r="AE65" s="35">
        <v>3</v>
      </c>
      <c r="AF65" s="35">
        <v>1</v>
      </c>
      <c r="AG65" s="35">
        <v>3</v>
      </c>
    </row>
    <row r="66" spans="2:33" s="2" customFormat="1" ht="44.25" customHeight="1" x14ac:dyDescent="0.25">
      <c r="B66" s="30" t="s">
        <v>78</v>
      </c>
      <c r="C66" s="27" t="s">
        <v>84</v>
      </c>
      <c r="D66" s="27" t="s">
        <v>140</v>
      </c>
      <c r="E66" s="27" t="s">
        <v>132</v>
      </c>
      <c r="F66" s="28">
        <v>0</v>
      </c>
      <c r="G66" s="36">
        <v>1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B66" s="35">
        <v>8</v>
      </c>
      <c r="AC66" s="35">
        <v>1</v>
      </c>
      <c r="AD66" s="35">
        <v>1</v>
      </c>
      <c r="AE66" s="35">
        <v>1</v>
      </c>
      <c r="AF66" s="32">
        <v>0</v>
      </c>
      <c r="AG66" s="32">
        <v>0</v>
      </c>
    </row>
    <row r="67" spans="2:33" s="2" customFormat="1" ht="44.25" customHeight="1" x14ac:dyDescent="0.25">
      <c r="B67" s="30" t="s">
        <v>78</v>
      </c>
      <c r="C67" s="27" t="s">
        <v>84</v>
      </c>
      <c r="D67" s="27" t="s">
        <v>86</v>
      </c>
      <c r="E67" s="27" t="s">
        <v>132</v>
      </c>
      <c r="F67" s="28">
        <v>0</v>
      </c>
      <c r="G67" s="36">
        <v>2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B67" s="32">
        <v>0</v>
      </c>
      <c r="AC67" s="32">
        <v>0</v>
      </c>
      <c r="AD67" s="32">
        <v>0</v>
      </c>
      <c r="AE67" s="32">
        <v>0</v>
      </c>
      <c r="AF67" s="32">
        <v>0</v>
      </c>
      <c r="AG67" s="32">
        <v>0</v>
      </c>
    </row>
    <row r="68" spans="2:33" s="2" customFormat="1" ht="49.5" customHeight="1" x14ac:dyDescent="0.25">
      <c r="B68" s="29" t="s">
        <v>78</v>
      </c>
      <c r="C68" s="27" t="s">
        <v>87</v>
      </c>
      <c r="D68" s="27" t="s">
        <v>165</v>
      </c>
      <c r="E68" s="27" t="s">
        <v>132</v>
      </c>
      <c r="F68" s="28">
        <v>0</v>
      </c>
      <c r="G68" s="31">
        <v>2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B68" s="35">
        <v>13</v>
      </c>
      <c r="AC68" s="35">
        <v>3</v>
      </c>
      <c r="AD68" s="35">
        <v>1</v>
      </c>
      <c r="AE68" s="35">
        <v>1</v>
      </c>
      <c r="AF68" s="32">
        <v>0</v>
      </c>
      <c r="AG68" s="32">
        <v>0</v>
      </c>
    </row>
    <row r="69" spans="2:33" s="2" customFormat="1" ht="49.5" customHeight="1" x14ac:dyDescent="0.25">
      <c r="B69" s="29" t="s">
        <v>78</v>
      </c>
      <c r="C69" s="27" t="s">
        <v>87</v>
      </c>
      <c r="D69" s="27" t="s">
        <v>142</v>
      </c>
      <c r="E69" s="27" t="s">
        <v>132</v>
      </c>
      <c r="F69" s="28">
        <v>0</v>
      </c>
      <c r="G69" s="31">
        <v>1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B69" s="32">
        <v>0</v>
      </c>
      <c r="AC69" s="32">
        <v>0</v>
      </c>
      <c r="AD69" s="32">
        <v>0</v>
      </c>
      <c r="AE69" s="32">
        <v>0</v>
      </c>
      <c r="AF69" s="32">
        <v>0</v>
      </c>
      <c r="AG69" s="32">
        <v>0</v>
      </c>
    </row>
    <row r="70" spans="2:33" s="2" customFormat="1" ht="49.5" customHeight="1" x14ac:dyDescent="0.25">
      <c r="B70" s="29" t="s">
        <v>78</v>
      </c>
      <c r="C70" s="27" t="s">
        <v>87</v>
      </c>
      <c r="D70" s="27" t="s">
        <v>88</v>
      </c>
      <c r="E70" s="27" t="s">
        <v>133</v>
      </c>
      <c r="F70" s="28">
        <v>0</v>
      </c>
      <c r="G70" s="31">
        <v>3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31">
        <v>1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B70" s="35">
        <v>28</v>
      </c>
      <c r="AC70" s="35">
        <v>4</v>
      </c>
      <c r="AD70" s="32">
        <v>0</v>
      </c>
      <c r="AE70" s="32">
        <v>0</v>
      </c>
      <c r="AF70" s="35">
        <v>0</v>
      </c>
      <c r="AG70" s="35">
        <v>0</v>
      </c>
    </row>
    <row r="71" spans="2:33" s="2" customFormat="1" ht="49.5" customHeight="1" x14ac:dyDescent="0.25">
      <c r="B71" s="29" t="s">
        <v>78</v>
      </c>
      <c r="C71" s="27" t="s">
        <v>87</v>
      </c>
      <c r="D71" s="27" t="s">
        <v>192</v>
      </c>
      <c r="E71" s="27" t="s">
        <v>119</v>
      </c>
      <c r="F71" s="28">
        <v>0</v>
      </c>
      <c r="G71" s="31">
        <v>0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31">
        <v>1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B71" s="32">
        <v>0</v>
      </c>
      <c r="AC71" s="32">
        <v>0</v>
      </c>
      <c r="AD71" s="32">
        <v>0</v>
      </c>
      <c r="AE71" s="32">
        <v>0</v>
      </c>
      <c r="AF71" s="32">
        <v>0</v>
      </c>
      <c r="AG71" s="32">
        <v>0</v>
      </c>
    </row>
    <row r="72" spans="2:33" s="2" customFormat="1" ht="37.5" customHeight="1" x14ac:dyDescent="0.25">
      <c r="B72" s="30" t="s">
        <v>78</v>
      </c>
      <c r="C72" s="27" t="s">
        <v>89</v>
      </c>
      <c r="D72" s="27" t="s">
        <v>175</v>
      </c>
      <c r="E72" s="27" t="s">
        <v>120</v>
      </c>
      <c r="F72" s="33">
        <v>0</v>
      </c>
      <c r="G72" s="37">
        <v>3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28">
        <v>0</v>
      </c>
      <c r="O72" s="28">
        <v>0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34">
        <v>0</v>
      </c>
      <c r="V72" s="34">
        <v>0</v>
      </c>
      <c r="W72" s="34">
        <v>0</v>
      </c>
      <c r="X72" s="28">
        <v>0</v>
      </c>
      <c r="Y72" s="28">
        <v>0</v>
      </c>
      <c r="Z72" s="28">
        <v>0</v>
      </c>
      <c r="AB72" s="35">
        <v>8</v>
      </c>
      <c r="AC72" s="35">
        <v>1</v>
      </c>
      <c r="AD72" s="35">
        <v>1</v>
      </c>
      <c r="AE72" s="35">
        <v>1</v>
      </c>
      <c r="AF72" s="32">
        <v>0</v>
      </c>
      <c r="AG72" s="35">
        <v>0</v>
      </c>
    </row>
    <row r="73" spans="2:33" s="2" customFormat="1" ht="37.5" customHeight="1" x14ac:dyDescent="0.25">
      <c r="B73" s="30" t="s">
        <v>78</v>
      </c>
      <c r="C73" s="27" t="s">
        <v>89</v>
      </c>
      <c r="D73" s="27" t="s">
        <v>176</v>
      </c>
      <c r="E73" s="27" t="s">
        <v>118</v>
      </c>
      <c r="F73" s="33">
        <v>0</v>
      </c>
      <c r="G73" s="37">
        <v>1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34">
        <v>0</v>
      </c>
      <c r="V73" s="34">
        <v>0</v>
      </c>
      <c r="W73" s="34">
        <v>0</v>
      </c>
      <c r="X73" s="28">
        <v>0</v>
      </c>
      <c r="Y73" s="28">
        <v>0</v>
      </c>
      <c r="Z73" s="28">
        <v>0</v>
      </c>
      <c r="AB73" s="35">
        <v>8</v>
      </c>
      <c r="AC73" s="32">
        <v>0</v>
      </c>
      <c r="AD73" s="35">
        <v>1</v>
      </c>
      <c r="AE73" s="35">
        <v>1</v>
      </c>
      <c r="AF73" s="32">
        <v>0</v>
      </c>
      <c r="AG73" s="35">
        <v>2</v>
      </c>
    </row>
    <row r="74" spans="2:33" s="2" customFormat="1" ht="49.5" customHeight="1" x14ac:dyDescent="0.25">
      <c r="B74" s="29" t="s">
        <v>78</v>
      </c>
      <c r="C74" s="27" t="s">
        <v>90</v>
      </c>
      <c r="D74" s="27" t="s">
        <v>177</v>
      </c>
      <c r="E74" s="27" t="s">
        <v>116</v>
      </c>
      <c r="F74" s="28">
        <v>0</v>
      </c>
      <c r="G74" s="31">
        <v>3</v>
      </c>
      <c r="H74" s="28">
        <v>0</v>
      </c>
      <c r="I74" s="28">
        <v>0</v>
      </c>
      <c r="J74" s="28">
        <v>0</v>
      </c>
      <c r="K74" s="28">
        <v>0</v>
      </c>
      <c r="L74" s="28">
        <v>0</v>
      </c>
      <c r="M74" s="28">
        <v>0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B74" s="35">
        <v>9</v>
      </c>
      <c r="AC74" s="35">
        <v>2</v>
      </c>
      <c r="AD74" s="35">
        <v>1</v>
      </c>
      <c r="AE74" s="35">
        <v>1</v>
      </c>
      <c r="AF74" s="35">
        <v>1</v>
      </c>
      <c r="AG74" s="35">
        <v>2</v>
      </c>
    </row>
    <row r="75" spans="2:33" s="2" customFormat="1" ht="49.5" customHeight="1" x14ac:dyDescent="0.25">
      <c r="B75" s="29" t="s">
        <v>78</v>
      </c>
      <c r="C75" s="27" t="s">
        <v>91</v>
      </c>
      <c r="D75" s="27" t="s">
        <v>166</v>
      </c>
      <c r="E75" s="27" t="s">
        <v>117</v>
      </c>
      <c r="F75" s="28">
        <v>0</v>
      </c>
      <c r="G75" s="31">
        <v>3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B75" s="35">
        <v>11</v>
      </c>
      <c r="AC75" s="35">
        <v>2</v>
      </c>
      <c r="AD75" s="35">
        <v>1</v>
      </c>
      <c r="AE75" s="35">
        <v>1</v>
      </c>
      <c r="AF75" s="32">
        <v>0</v>
      </c>
      <c r="AG75" s="35">
        <v>6</v>
      </c>
    </row>
    <row r="76" spans="2:33" s="2" customFormat="1" ht="49.5" customHeight="1" x14ac:dyDescent="0.25">
      <c r="B76" s="29" t="s">
        <v>78</v>
      </c>
      <c r="C76" s="27" t="s">
        <v>91</v>
      </c>
      <c r="D76" s="27" t="s">
        <v>199</v>
      </c>
      <c r="E76" s="27" t="s">
        <v>116</v>
      </c>
      <c r="F76" s="28">
        <v>0</v>
      </c>
      <c r="G76" s="31">
        <v>0</v>
      </c>
      <c r="H76" s="28">
        <v>0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31">
        <v>1</v>
      </c>
      <c r="X76" s="28">
        <v>0</v>
      </c>
      <c r="Y76" s="28">
        <v>0</v>
      </c>
      <c r="Z76" s="28">
        <v>0</v>
      </c>
      <c r="AB76" s="32">
        <v>0</v>
      </c>
      <c r="AC76" s="32">
        <v>0</v>
      </c>
      <c r="AD76" s="32">
        <v>0</v>
      </c>
      <c r="AE76" s="32">
        <v>0</v>
      </c>
      <c r="AF76" s="32">
        <v>0</v>
      </c>
      <c r="AG76" s="32">
        <v>0</v>
      </c>
    </row>
    <row r="77" spans="2:33" s="2" customFormat="1" ht="49.5" customHeight="1" x14ac:dyDescent="0.25">
      <c r="B77" s="29" t="s">
        <v>78</v>
      </c>
      <c r="C77" s="27" t="s">
        <v>91</v>
      </c>
      <c r="D77" s="27" t="s">
        <v>92</v>
      </c>
      <c r="E77" s="27" t="s">
        <v>134</v>
      </c>
      <c r="F77" s="28">
        <v>0</v>
      </c>
      <c r="G77" s="31">
        <v>1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B77" s="35">
        <v>5</v>
      </c>
      <c r="AC77" s="35">
        <v>2</v>
      </c>
      <c r="AD77" s="35">
        <v>1</v>
      </c>
      <c r="AE77" s="35">
        <v>1</v>
      </c>
      <c r="AF77" s="32">
        <v>0</v>
      </c>
      <c r="AG77" s="35">
        <v>1</v>
      </c>
    </row>
    <row r="78" spans="2:33" s="2" customFormat="1" ht="44.25" customHeight="1" x14ac:dyDescent="0.25">
      <c r="B78" s="30" t="s">
        <v>78</v>
      </c>
      <c r="C78" s="27" t="s">
        <v>93</v>
      </c>
      <c r="D78" s="27" t="s">
        <v>167</v>
      </c>
      <c r="E78" s="27" t="s">
        <v>135</v>
      </c>
      <c r="F78" s="28">
        <v>0</v>
      </c>
      <c r="G78" s="36">
        <v>3</v>
      </c>
      <c r="H78" s="31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B78" s="35">
        <v>19</v>
      </c>
      <c r="AC78" s="32">
        <v>0</v>
      </c>
      <c r="AD78" s="35">
        <v>1</v>
      </c>
      <c r="AE78" s="35">
        <v>1</v>
      </c>
      <c r="AF78" s="32">
        <v>0</v>
      </c>
      <c r="AG78" s="35">
        <v>2</v>
      </c>
    </row>
    <row r="79" spans="2:33" s="2" customFormat="1" ht="44.25" customHeight="1" x14ac:dyDescent="0.25">
      <c r="B79" s="30" t="s">
        <v>78</v>
      </c>
      <c r="C79" s="27" t="s">
        <v>93</v>
      </c>
      <c r="D79" s="27" t="s">
        <v>194</v>
      </c>
      <c r="E79" s="27" t="s">
        <v>136</v>
      </c>
      <c r="F79" s="28">
        <v>0</v>
      </c>
      <c r="G79" s="36">
        <v>2</v>
      </c>
      <c r="H79" s="31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B79" s="35">
        <v>16</v>
      </c>
      <c r="AC79" s="32">
        <v>0</v>
      </c>
      <c r="AD79" s="35">
        <v>1</v>
      </c>
      <c r="AE79" s="35">
        <v>1</v>
      </c>
      <c r="AF79" s="32">
        <v>0</v>
      </c>
      <c r="AG79" s="32">
        <v>0</v>
      </c>
    </row>
    <row r="80" spans="2:33" s="2" customFormat="1" ht="44.25" customHeight="1" x14ac:dyDescent="0.25">
      <c r="B80" s="30" t="s">
        <v>78</v>
      </c>
      <c r="C80" s="27" t="s">
        <v>93</v>
      </c>
      <c r="D80" s="27" t="s">
        <v>143</v>
      </c>
      <c r="E80" s="27" t="s">
        <v>122</v>
      </c>
      <c r="F80" s="28">
        <v>0</v>
      </c>
      <c r="G80" s="36">
        <v>3</v>
      </c>
      <c r="H80" s="31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B80" s="35">
        <v>15</v>
      </c>
      <c r="AC80" s="32">
        <v>0</v>
      </c>
      <c r="AD80" s="35">
        <v>1</v>
      </c>
      <c r="AE80" s="35">
        <v>1</v>
      </c>
      <c r="AF80" s="32">
        <v>0</v>
      </c>
      <c r="AG80" s="35">
        <v>0</v>
      </c>
    </row>
    <row r="81" spans="2:33" s="2" customFormat="1" ht="44.25" customHeight="1" x14ac:dyDescent="0.25">
      <c r="B81" s="30" t="s">
        <v>78</v>
      </c>
      <c r="C81" s="27" t="s">
        <v>93</v>
      </c>
      <c r="D81" s="27" t="s">
        <v>94</v>
      </c>
      <c r="E81" s="27" t="s">
        <v>137</v>
      </c>
      <c r="F81" s="28">
        <v>0</v>
      </c>
      <c r="G81" s="36">
        <v>1</v>
      </c>
      <c r="H81" s="31">
        <v>0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B81" s="35">
        <v>0</v>
      </c>
      <c r="AC81" s="35">
        <v>0</v>
      </c>
      <c r="AD81" s="35">
        <v>0</v>
      </c>
      <c r="AE81" s="35">
        <v>0</v>
      </c>
      <c r="AF81" s="32">
        <v>0</v>
      </c>
      <c r="AG81" s="35">
        <v>0</v>
      </c>
    </row>
    <row r="82" spans="2:33" s="2" customFormat="1" ht="49.5" customHeight="1" x14ac:dyDescent="0.25">
      <c r="B82" s="29" t="s">
        <v>78</v>
      </c>
      <c r="C82" s="27" t="s">
        <v>95</v>
      </c>
      <c r="D82" s="27" t="s">
        <v>193</v>
      </c>
      <c r="E82" s="27" t="s">
        <v>138</v>
      </c>
      <c r="F82" s="28">
        <v>0</v>
      </c>
      <c r="G82" s="31">
        <v>5</v>
      </c>
      <c r="H82" s="31">
        <v>1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B82" s="35">
        <v>6</v>
      </c>
      <c r="AC82" s="35">
        <v>2</v>
      </c>
      <c r="AD82" s="35">
        <v>1</v>
      </c>
      <c r="AE82" s="35">
        <v>1</v>
      </c>
      <c r="AF82" s="32">
        <v>0</v>
      </c>
      <c r="AG82" s="32">
        <v>0</v>
      </c>
    </row>
    <row r="83" spans="2:33" s="2" customFormat="1" ht="49.5" customHeight="1" x14ac:dyDescent="0.25">
      <c r="B83" s="29" t="s">
        <v>78</v>
      </c>
      <c r="C83" s="27" t="s">
        <v>95</v>
      </c>
      <c r="D83" s="27" t="s">
        <v>168</v>
      </c>
      <c r="E83" s="27" t="s">
        <v>138</v>
      </c>
      <c r="F83" s="28">
        <v>0</v>
      </c>
      <c r="G83" s="31">
        <v>1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58">
        <f>+AA84*0.4</f>
        <v>394785838.64251631</v>
      </c>
      <c r="AB83" s="35">
        <v>0</v>
      </c>
      <c r="AC83" s="32">
        <v>0</v>
      </c>
      <c r="AD83" s="35">
        <v>1</v>
      </c>
      <c r="AE83" s="35">
        <v>1</v>
      </c>
      <c r="AF83" s="32">
        <v>0</v>
      </c>
      <c r="AG83" s="32">
        <v>0</v>
      </c>
    </row>
    <row r="84" spans="2:33" s="2" customFormat="1" ht="49.5" customHeight="1" x14ac:dyDescent="0.25">
      <c r="B84" s="29" t="s">
        <v>78</v>
      </c>
      <c r="C84" s="27" t="s">
        <v>95</v>
      </c>
      <c r="D84" s="27" t="s">
        <v>139</v>
      </c>
      <c r="E84" s="27" t="s">
        <v>197</v>
      </c>
      <c r="F84" s="28">
        <v>0</v>
      </c>
      <c r="G84" s="31">
        <v>2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58">
        <f>+(F85*F96)+(G85*G96)+(H85*H96)+(L85*L96)+(P85*P96)+(U85*U96)+(W85*W96)</f>
        <v>986964596.6062907</v>
      </c>
      <c r="AB84" s="32">
        <v>0</v>
      </c>
      <c r="AC84" s="32">
        <v>0</v>
      </c>
      <c r="AD84" s="32">
        <v>0</v>
      </c>
      <c r="AE84" s="32">
        <v>0</v>
      </c>
      <c r="AF84" s="32">
        <v>0</v>
      </c>
      <c r="AG84" s="32">
        <v>0</v>
      </c>
    </row>
    <row r="85" spans="2:33" s="53" customFormat="1" ht="19.5" customHeight="1" x14ac:dyDescent="0.25">
      <c r="B85" s="165" t="s">
        <v>96</v>
      </c>
      <c r="C85" s="165"/>
      <c r="D85" s="165"/>
      <c r="E85" s="165"/>
      <c r="F85" s="85">
        <f t="shared" ref="F85:Z85" si="10">SUM(F57:F84)</f>
        <v>3</v>
      </c>
      <c r="G85" s="85">
        <f t="shared" si="10"/>
        <v>62</v>
      </c>
      <c r="H85" s="85">
        <f t="shared" si="10"/>
        <v>2</v>
      </c>
      <c r="I85" s="85">
        <f t="shared" si="10"/>
        <v>0</v>
      </c>
      <c r="J85" s="85">
        <f t="shared" si="10"/>
        <v>0</v>
      </c>
      <c r="K85" s="85">
        <f t="shared" si="10"/>
        <v>0</v>
      </c>
      <c r="L85" s="85">
        <f t="shared" si="10"/>
        <v>1</v>
      </c>
      <c r="M85" s="85">
        <f t="shared" si="10"/>
        <v>0</v>
      </c>
      <c r="N85" s="85">
        <f t="shared" si="10"/>
        <v>0</v>
      </c>
      <c r="O85" s="85">
        <f t="shared" si="10"/>
        <v>0</v>
      </c>
      <c r="P85" s="85">
        <f t="shared" si="10"/>
        <v>2</v>
      </c>
      <c r="Q85" s="85">
        <f t="shared" si="10"/>
        <v>0</v>
      </c>
      <c r="R85" s="85">
        <f t="shared" si="10"/>
        <v>0</v>
      </c>
      <c r="S85" s="85">
        <f t="shared" si="10"/>
        <v>0</v>
      </c>
      <c r="T85" s="85">
        <f t="shared" si="10"/>
        <v>0</v>
      </c>
      <c r="U85" s="85">
        <f t="shared" si="10"/>
        <v>1</v>
      </c>
      <c r="V85" s="85">
        <f t="shared" si="10"/>
        <v>0</v>
      </c>
      <c r="W85" s="85">
        <f t="shared" si="10"/>
        <v>1</v>
      </c>
      <c r="X85" s="85">
        <f t="shared" si="10"/>
        <v>0</v>
      </c>
      <c r="Y85" s="85">
        <f t="shared" si="10"/>
        <v>0</v>
      </c>
      <c r="Z85" s="85">
        <f t="shared" si="10"/>
        <v>0</v>
      </c>
      <c r="AA85" s="86">
        <f>SUM(F85:Z85)</f>
        <v>72</v>
      </c>
      <c r="AB85" s="87">
        <f t="shared" ref="AB85:AG85" si="11">SUM(AB57:AB84)</f>
        <v>317</v>
      </c>
      <c r="AC85" s="87">
        <f t="shared" si="11"/>
        <v>30</v>
      </c>
      <c r="AD85" s="87">
        <f t="shared" si="11"/>
        <v>21</v>
      </c>
      <c r="AE85" s="87">
        <f t="shared" si="11"/>
        <v>21</v>
      </c>
      <c r="AF85" s="87">
        <f t="shared" si="11"/>
        <v>5</v>
      </c>
      <c r="AG85" s="87">
        <f t="shared" si="11"/>
        <v>30</v>
      </c>
    </row>
    <row r="86" spans="2:33" s="54" customFormat="1" ht="19.5" customHeight="1" x14ac:dyDescent="0.25">
      <c r="B86" s="55"/>
      <c r="C86" s="55"/>
      <c r="D86" s="55"/>
      <c r="E86" s="55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1"/>
      <c r="AB86" s="96"/>
      <c r="AC86" s="96"/>
      <c r="AD86" s="96"/>
      <c r="AE86" s="96"/>
      <c r="AF86" s="96"/>
      <c r="AG86" s="96"/>
    </row>
    <row r="87" spans="2:33" s="4" customFormat="1" ht="35.25" customHeight="1" x14ac:dyDescent="0.25">
      <c r="B87" s="3"/>
      <c r="C87" s="3"/>
      <c r="D87" s="3"/>
      <c r="E87" s="90" t="s">
        <v>97</v>
      </c>
      <c r="F87" s="91">
        <f t="shared" ref="F87:Z87" si="12">+F12+F17+F32+F48+F56+F85</f>
        <v>9</v>
      </c>
      <c r="G87" s="91">
        <f t="shared" si="12"/>
        <v>164</v>
      </c>
      <c r="H87" s="91">
        <f t="shared" si="12"/>
        <v>6</v>
      </c>
      <c r="I87" s="91">
        <f t="shared" si="12"/>
        <v>0</v>
      </c>
      <c r="J87" s="91">
        <f t="shared" si="12"/>
        <v>0</v>
      </c>
      <c r="K87" s="91">
        <f t="shared" si="12"/>
        <v>0</v>
      </c>
      <c r="L87" s="91">
        <f t="shared" si="12"/>
        <v>2</v>
      </c>
      <c r="M87" s="91">
        <f t="shared" si="12"/>
        <v>1</v>
      </c>
      <c r="N87" s="91">
        <f t="shared" si="12"/>
        <v>0</v>
      </c>
      <c r="O87" s="91">
        <f t="shared" si="12"/>
        <v>1</v>
      </c>
      <c r="P87" s="91">
        <f t="shared" si="12"/>
        <v>5</v>
      </c>
      <c r="Q87" s="91">
        <f t="shared" si="12"/>
        <v>4</v>
      </c>
      <c r="R87" s="91">
        <f t="shared" si="12"/>
        <v>0</v>
      </c>
      <c r="S87" s="91">
        <f t="shared" si="12"/>
        <v>0</v>
      </c>
      <c r="T87" s="91">
        <f t="shared" si="12"/>
        <v>0</v>
      </c>
      <c r="U87" s="91">
        <f t="shared" si="12"/>
        <v>1</v>
      </c>
      <c r="V87" s="91">
        <f t="shared" si="12"/>
        <v>1</v>
      </c>
      <c r="W87" s="91">
        <f t="shared" si="12"/>
        <v>1</v>
      </c>
      <c r="X87" s="91">
        <f t="shared" si="12"/>
        <v>1</v>
      </c>
      <c r="Y87" s="91">
        <f t="shared" si="12"/>
        <v>2</v>
      </c>
      <c r="Z87" s="91">
        <f t="shared" si="12"/>
        <v>0</v>
      </c>
      <c r="AA87" s="22"/>
      <c r="AB87" s="97">
        <f t="shared" ref="AB87:AG87" si="13">+AB12+AB17+AB32+AB48+AB56+AB85</f>
        <v>772</v>
      </c>
      <c r="AC87" s="97">
        <f t="shared" si="13"/>
        <v>52</v>
      </c>
      <c r="AD87" s="97">
        <f t="shared" si="13"/>
        <v>56</v>
      </c>
      <c r="AE87" s="97">
        <f t="shared" si="13"/>
        <v>56</v>
      </c>
      <c r="AF87" s="97">
        <f t="shared" si="13"/>
        <v>10</v>
      </c>
      <c r="AG87" s="97">
        <f t="shared" si="13"/>
        <v>72</v>
      </c>
    </row>
    <row r="88" spans="2:33" s="4" customFormat="1" ht="20.25" customHeight="1" x14ac:dyDescent="0.25">
      <c r="B88" s="3"/>
      <c r="C88" s="5"/>
      <c r="D88" s="5"/>
      <c r="E88" s="65" t="s">
        <v>98</v>
      </c>
      <c r="F88" s="66">
        <v>3</v>
      </c>
      <c r="G88" s="66">
        <v>3</v>
      </c>
      <c r="H88" s="66">
        <v>3</v>
      </c>
      <c r="I88" s="66">
        <v>3</v>
      </c>
      <c r="J88" s="66">
        <v>3</v>
      </c>
      <c r="K88" s="66">
        <v>3</v>
      </c>
      <c r="L88" s="66">
        <v>2</v>
      </c>
      <c r="M88" s="66">
        <v>2</v>
      </c>
      <c r="N88" s="66">
        <v>2</v>
      </c>
      <c r="O88" s="66">
        <v>1.5</v>
      </c>
      <c r="P88" s="67">
        <v>1.5</v>
      </c>
      <c r="Q88" s="67">
        <v>1.5</v>
      </c>
      <c r="R88" s="66">
        <v>1.5</v>
      </c>
      <c r="S88" s="66">
        <v>1.5</v>
      </c>
      <c r="T88" s="66">
        <v>1.5</v>
      </c>
      <c r="U88" s="66">
        <v>1</v>
      </c>
      <c r="V88" s="66">
        <v>1</v>
      </c>
      <c r="W88" s="66">
        <v>1</v>
      </c>
      <c r="X88" s="66">
        <v>1</v>
      </c>
      <c r="Y88" s="66">
        <v>1</v>
      </c>
      <c r="Z88" s="66">
        <v>1</v>
      </c>
    </row>
    <row r="89" spans="2:33" s="4" customFormat="1" ht="20.25" customHeight="1" x14ac:dyDescent="0.25">
      <c r="B89" s="3"/>
      <c r="C89" s="5"/>
      <c r="D89" s="5"/>
      <c r="E89" s="65" t="s">
        <v>99</v>
      </c>
      <c r="F89" s="66">
        <f>F88*F87</f>
        <v>27</v>
      </c>
      <c r="G89" s="66">
        <f t="shared" ref="G89:Z89" si="14">G88*G87</f>
        <v>492</v>
      </c>
      <c r="H89" s="66">
        <f t="shared" si="14"/>
        <v>18</v>
      </c>
      <c r="I89" s="66">
        <f t="shared" si="14"/>
        <v>0</v>
      </c>
      <c r="J89" s="66">
        <f t="shared" si="14"/>
        <v>0</v>
      </c>
      <c r="K89" s="66">
        <f t="shared" si="14"/>
        <v>0</v>
      </c>
      <c r="L89" s="66">
        <f t="shared" si="14"/>
        <v>4</v>
      </c>
      <c r="M89" s="66">
        <f t="shared" si="14"/>
        <v>2</v>
      </c>
      <c r="N89" s="66">
        <f t="shared" si="14"/>
        <v>0</v>
      </c>
      <c r="O89" s="66">
        <f t="shared" si="14"/>
        <v>1.5</v>
      </c>
      <c r="P89" s="67">
        <f t="shared" si="14"/>
        <v>7.5</v>
      </c>
      <c r="Q89" s="67">
        <f t="shared" si="14"/>
        <v>6</v>
      </c>
      <c r="R89" s="67">
        <f t="shared" si="14"/>
        <v>0</v>
      </c>
      <c r="S89" s="67">
        <f t="shared" si="14"/>
        <v>0</v>
      </c>
      <c r="T89" s="67">
        <f t="shared" si="14"/>
        <v>0</v>
      </c>
      <c r="U89" s="66">
        <f t="shared" si="14"/>
        <v>1</v>
      </c>
      <c r="V89" s="66">
        <f t="shared" si="14"/>
        <v>1</v>
      </c>
      <c r="W89" s="66">
        <f t="shared" si="14"/>
        <v>1</v>
      </c>
      <c r="X89" s="66">
        <f t="shared" si="14"/>
        <v>1</v>
      </c>
      <c r="Y89" s="66">
        <f t="shared" si="14"/>
        <v>2</v>
      </c>
      <c r="Z89" s="66">
        <f t="shared" si="14"/>
        <v>0</v>
      </c>
      <c r="AA89" s="23"/>
    </row>
    <row r="90" spans="2:33" s="4" customFormat="1" ht="35.25" customHeight="1" x14ac:dyDescent="0.25">
      <c r="B90" s="3"/>
      <c r="C90" s="5"/>
      <c r="D90" s="5"/>
      <c r="E90" s="65" t="s">
        <v>100</v>
      </c>
      <c r="F90" s="68">
        <v>3000</v>
      </c>
      <c r="G90" s="68">
        <f>$F$90</f>
        <v>3000</v>
      </c>
      <c r="H90" s="68">
        <f t="shared" ref="H90:Z90" si="15">$F$90</f>
        <v>3000</v>
      </c>
      <c r="I90" s="68">
        <f t="shared" si="15"/>
        <v>3000</v>
      </c>
      <c r="J90" s="68">
        <f t="shared" si="15"/>
        <v>3000</v>
      </c>
      <c r="K90" s="68">
        <f t="shared" si="15"/>
        <v>3000</v>
      </c>
      <c r="L90" s="68">
        <f t="shared" si="15"/>
        <v>3000</v>
      </c>
      <c r="M90" s="68">
        <f t="shared" si="15"/>
        <v>3000</v>
      </c>
      <c r="N90" s="68">
        <f t="shared" si="15"/>
        <v>3000</v>
      </c>
      <c r="O90" s="68">
        <f t="shared" si="15"/>
        <v>3000</v>
      </c>
      <c r="P90" s="68">
        <f t="shared" si="15"/>
        <v>3000</v>
      </c>
      <c r="Q90" s="68">
        <f t="shared" si="15"/>
        <v>3000</v>
      </c>
      <c r="R90" s="68">
        <f t="shared" si="15"/>
        <v>3000</v>
      </c>
      <c r="S90" s="68">
        <f t="shared" si="15"/>
        <v>3000</v>
      </c>
      <c r="T90" s="68">
        <f t="shared" si="15"/>
        <v>3000</v>
      </c>
      <c r="U90" s="68">
        <f t="shared" si="15"/>
        <v>3000</v>
      </c>
      <c r="V90" s="68">
        <f t="shared" si="15"/>
        <v>3000</v>
      </c>
      <c r="W90" s="68">
        <f t="shared" si="15"/>
        <v>3000</v>
      </c>
      <c r="X90" s="68">
        <f t="shared" si="15"/>
        <v>3000</v>
      </c>
      <c r="Y90" s="68">
        <f t="shared" si="15"/>
        <v>3000</v>
      </c>
      <c r="Z90" s="68">
        <f t="shared" si="15"/>
        <v>3000</v>
      </c>
      <c r="AA90" s="6"/>
    </row>
    <row r="91" spans="2:33" s="4" customFormat="1" ht="37.5" customHeight="1" x14ac:dyDescent="0.25">
      <c r="B91" s="3"/>
      <c r="C91" s="5"/>
      <c r="D91" s="5"/>
      <c r="E91" s="69" t="s">
        <v>101</v>
      </c>
      <c r="F91" s="70">
        <f>F90*F89</f>
        <v>81000</v>
      </c>
      <c r="G91" s="70">
        <f t="shared" ref="G91:Z91" si="16">G90*G89</f>
        <v>1476000</v>
      </c>
      <c r="H91" s="70">
        <f t="shared" si="16"/>
        <v>54000</v>
      </c>
      <c r="I91" s="70">
        <f t="shared" si="16"/>
        <v>0</v>
      </c>
      <c r="J91" s="70">
        <f t="shared" si="16"/>
        <v>0</v>
      </c>
      <c r="K91" s="70">
        <f t="shared" si="16"/>
        <v>0</v>
      </c>
      <c r="L91" s="70">
        <f t="shared" si="16"/>
        <v>12000</v>
      </c>
      <c r="M91" s="70">
        <f t="shared" si="16"/>
        <v>6000</v>
      </c>
      <c r="N91" s="70">
        <f t="shared" si="16"/>
        <v>0</v>
      </c>
      <c r="O91" s="70">
        <f t="shared" si="16"/>
        <v>4500</v>
      </c>
      <c r="P91" s="70">
        <f t="shared" si="16"/>
        <v>22500</v>
      </c>
      <c r="Q91" s="70">
        <f t="shared" si="16"/>
        <v>18000</v>
      </c>
      <c r="R91" s="70">
        <f t="shared" si="16"/>
        <v>0</v>
      </c>
      <c r="S91" s="70">
        <f t="shared" si="16"/>
        <v>0</v>
      </c>
      <c r="T91" s="70">
        <f t="shared" si="16"/>
        <v>0</v>
      </c>
      <c r="U91" s="70">
        <f t="shared" si="16"/>
        <v>3000</v>
      </c>
      <c r="V91" s="70">
        <f t="shared" si="16"/>
        <v>3000</v>
      </c>
      <c r="W91" s="70">
        <f t="shared" si="16"/>
        <v>3000</v>
      </c>
      <c r="X91" s="70">
        <f t="shared" si="16"/>
        <v>3000</v>
      </c>
      <c r="Y91" s="70">
        <f t="shared" si="16"/>
        <v>6000</v>
      </c>
      <c r="Z91" s="70">
        <f t="shared" si="16"/>
        <v>0</v>
      </c>
      <c r="AA91" s="24"/>
    </row>
    <row r="92" spans="2:33" ht="12.75" x14ac:dyDescent="0.25"/>
    <row r="93" spans="2:33" s="38" customFormat="1" ht="20.25" customHeight="1" x14ac:dyDescent="0.25">
      <c r="B93" s="12"/>
      <c r="C93" s="12"/>
      <c r="D93" s="12"/>
      <c r="E93" s="47" t="s">
        <v>102</v>
      </c>
      <c r="F93" s="45">
        <f>((9.14*1423500)+(500*3))</f>
        <v>13012290</v>
      </c>
      <c r="G93" s="45">
        <f>(9.14*1423500+(500*3))</f>
        <v>13012290</v>
      </c>
      <c r="H93" s="45">
        <f>(9.14*1423500+(500*3))</f>
        <v>13012290</v>
      </c>
      <c r="I93" s="45">
        <f>(9.29*1423500+(500*3))</f>
        <v>13225814.999999998</v>
      </c>
      <c r="J93" s="45">
        <f>(9.29*1423500+(500*3))/30*20</f>
        <v>8817209.9999999981</v>
      </c>
      <c r="K93" s="45">
        <f>(9.29*1423500+(500*3))/30*24</f>
        <v>10580651.999999998</v>
      </c>
      <c r="L93" s="45">
        <f>(((9.14*1423500+(500*3))*55.97%)+((9.14*1423500+(500*3))*44.03%/9*1))</f>
        <v>7919568.8559999997</v>
      </c>
      <c r="M93" s="45">
        <f>(((9.14*1423500+(500*3))*55.97%)+((9.14*1423500+(500*3))*44.03%/9*1))/30*20</f>
        <v>5279712.5706666661</v>
      </c>
      <c r="N93" s="45">
        <f>(((9.29*1423500+(500*3))*55.97%)+((9.29*1423500+(500*3))*44.03%/9*1))/30*24</f>
        <v>6439619.9327999987</v>
      </c>
      <c r="O93" s="45">
        <f>((9.14*1423500+(500*3))*55.97%/15*12)</f>
        <v>5826382.9703999991</v>
      </c>
      <c r="P93" s="45">
        <f>((9.14*1423500+(500*3))*55.97%/15*12)/30*20</f>
        <v>3884255.3135999995</v>
      </c>
      <c r="Q93" s="45">
        <f>((9.14*1423500+(500*3))*55.97%/15*12)/30*24</f>
        <v>4661106.3763199998</v>
      </c>
      <c r="R93" s="45">
        <f>(((9.29*1423500+(500*3))*55.97%/15*3)+((9.29*1423500+(500*3))*44.03%/9*9))</f>
        <v>7303824.0755999992</v>
      </c>
      <c r="S93" s="45">
        <f>((((9.29*1423500+(500*3))*55.97%/15*3)+((9.29*1423500+(500*3))*44.03%/9*9))/30)*24</f>
        <v>5843059.2604799997</v>
      </c>
      <c r="T93" s="45">
        <f>(((9.29*1423500+(500*3))*55.97%/15*3)+((9.29*1423500+(500*3))*44.03%/9*9))</f>
        <v>7303824.0755999992</v>
      </c>
      <c r="U93" s="45">
        <f>((9.14*1423500+(500*3))*44.03%/9*8)</f>
        <v>5092721.1440000003</v>
      </c>
      <c r="V93" s="45">
        <f>((9.14*1423500+(500*3))*44.03%/9*8)</f>
        <v>5092721.1440000003</v>
      </c>
      <c r="W93" s="45">
        <f>(9.14*1423500+(500*3))*44.03%/9*8/30*20</f>
        <v>3395147.4293333334</v>
      </c>
      <c r="X93" s="45">
        <f>(9.14*1423500+(500*3))*55.97%/15*8/30*24</f>
        <v>3107404.2508799993</v>
      </c>
      <c r="Y93" s="45">
        <f>(9.14*1423500+(500*3))*55.97%/15*8/30*20</f>
        <v>2589503.5423999997</v>
      </c>
      <c r="Z93" s="45">
        <f>((9.14*1423500+(500*3))*55.97%/15*8)</f>
        <v>3884255.3135999995</v>
      </c>
      <c r="AA93" s="42"/>
      <c r="AB93" s="45">
        <v>11227</v>
      </c>
      <c r="AC93" s="45">
        <v>43635</v>
      </c>
      <c r="AD93" s="45">
        <v>55898</v>
      </c>
      <c r="AE93" s="45">
        <v>40588</v>
      </c>
      <c r="AF93" s="45">
        <v>127990</v>
      </c>
      <c r="AG93" s="45">
        <v>43069</v>
      </c>
    </row>
    <row r="94" spans="2:33" s="38" customFormat="1" ht="20.25" customHeight="1" x14ac:dyDescent="0.25">
      <c r="B94" s="12"/>
      <c r="C94" s="12"/>
      <c r="D94" s="12"/>
      <c r="E94" s="47" t="s">
        <v>103</v>
      </c>
      <c r="F94" s="45">
        <f>+F93*0.1</f>
        <v>1301229</v>
      </c>
      <c r="G94" s="45">
        <f>+G93*0.08</f>
        <v>1040983.2000000001</v>
      </c>
      <c r="H94" s="45">
        <f t="shared" ref="H94:Z94" si="17">+H93*0.08</f>
        <v>1040983.2000000001</v>
      </c>
      <c r="I94" s="45">
        <f>+I93*0.11</f>
        <v>1454839.65</v>
      </c>
      <c r="J94" s="45">
        <f t="shared" si="17"/>
        <v>705376.79999999981</v>
      </c>
      <c r="K94" s="45">
        <f t="shared" si="17"/>
        <v>846452.15999999992</v>
      </c>
      <c r="L94" s="45">
        <f t="shared" si="17"/>
        <v>633565.50847999996</v>
      </c>
      <c r="M94" s="45">
        <f t="shared" si="17"/>
        <v>422377.00565333333</v>
      </c>
      <c r="N94" s="45">
        <f t="shared" si="17"/>
        <v>515169.5946239999</v>
      </c>
      <c r="O94" s="45">
        <f t="shared" si="17"/>
        <v>466110.63763199991</v>
      </c>
      <c r="P94" s="45">
        <f t="shared" si="17"/>
        <v>310740.42508799996</v>
      </c>
      <c r="Q94" s="45">
        <f t="shared" si="17"/>
        <v>372888.5101056</v>
      </c>
      <c r="R94" s="45">
        <f t="shared" si="17"/>
        <v>584305.92604799999</v>
      </c>
      <c r="S94" s="45">
        <f t="shared" si="17"/>
        <v>467444.74083839997</v>
      </c>
      <c r="T94" s="45">
        <f>+T93*0.1</f>
        <v>730382.40755999996</v>
      </c>
      <c r="U94" s="45">
        <f>+U93*0.1</f>
        <v>509272.11440000008</v>
      </c>
      <c r="V94" s="45">
        <f t="shared" si="17"/>
        <v>407417.69152000005</v>
      </c>
      <c r="W94" s="45">
        <f t="shared" si="17"/>
        <v>271611.79434666666</v>
      </c>
      <c r="X94" s="45">
        <f t="shared" si="17"/>
        <v>248592.34007039995</v>
      </c>
      <c r="Y94" s="45">
        <f t="shared" si="17"/>
        <v>207160.28339199998</v>
      </c>
      <c r="Z94" s="45">
        <f t="shared" si="17"/>
        <v>310740.42508799996</v>
      </c>
      <c r="AB94" s="45"/>
      <c r="AC94" s="45"/>
      <c r="AD94" s="45"/>
      <c r="AE94" s="45"/>
      <c r="AF94" s="45"/>
      <c r="AG94" s="45"/>
    </row>
    <row r="95" spans="2:33" s="38" customFormat="1" ht="20.25" customHeight="1" x14ac:dyDescent="0.25">
      <c r="B95" s="12"/>
      <c r="C95" s="12"/>
      <c r="D95" s="12"/>
      <c r="E95" s="47" t="s">
        <v>104</v>
      </c>
      <c r="F95" s="45">
        <f>+(F93+F94)*0.019</f>
        <v>271956.86099999998</v>
      </c>
      <c r="G95" s="45">
        <f t="shared" ref="G95:Z95" si="18">+(G93+G94)*0.019</f>
        <v>267012.19079999998</v>
      </c>
      <c r="H95" s="45">
        <f t="shared" si="18"/>
        <v>267012.19079999998</v>
      </c>
      <c r="I95" s="45">
        <f t="shared" si="18"/>
        <v>278932.43834999995</v>
      </c>
      <c r="J95" s="45">
        <f t="shared" si="18"/>
        <v>180929.14919999993</v>
      </c>
      <c r="K95" s="45">
        <f t="shared" si="18"/>
        <v>217114.97903999998</v>
      </c>
      <c r="L95" s="45">
        <f t="shared" si="18"/>
        <v>162509.55292511999</v>
      </c>
      <c r="M95" s="45">
        <f t="shared" si="18"/>
        <v>108339.70195007998</v>
      </c>
      <c r="N95" s="45">
        <f t="shared" si="18"/>
        <v>132141.00102105597</v>
      </c>
      <c r="O95" s="45">
        <f t="shared" si="18"/>
        <v>119557.37855260799</v>
      </c>
      <c r="P95" s="45">
        <f t="shared" si="18"/>
        <v>79704.919035071987</v>
      </c>
      <c r="Q95" s="45">
        <f t="shared" si="18"/>
        <v>95645.902842086391</v>
      </c>
      <c r="R95" s="45">
        <f t="shared" si="18"/>
        <v>149874.470031312</v>
      </c>
      <c r="S95" s="45">
        <f t="shared" si="18"/>
        <v>119899.5760250496</v>
      </c>
      <c r="T95" s="45">
        <f t="shared" si="18"/>
        <v>152649.92318003997</v>
      </c>
      <c r="U95" s="45">
        <f t="shared" si="18"/>
        <v>106437.87190960001</v>
      </c>
      <c r="V95" s="45">
        <f t="shared" si="18"/>
        <v>104502.63787488001</v>
      </c>
      <c r="W95" s="45">
        <f t="shared" si="18"/>
        <v>69668.425249919994</v>
      </c>
      <c r="X95" s="45">
        <f t="shared" si="18"/>
        <v>63763.935228057584</v>
      </c>
      <c r="Y95" s="45">
        <f t="shared" si="18"/>
        <v>53136.612690047994</v>
      </c>
      <c r="Z95" s="45">
        <f t="shared" si="18"/>
        <v>79704.919035071987</v>
      </c>
      <c r="AB95" s="45">
        <f>+AB93*0.19</f>
        <v>2133.13</v>
      </c>
      <c r="AC95" s="45">
        <f t="shared" ref="AC95:AG95" si="19">+AC93*0.19</f>
        <v>8290.65</v>
      </c>
      <c r="AD95" s="45">
        <f t="shared" si="19"/>
        <v>10620.62</v>
      </c>
      <c r="AE95" s="45">
        <f t="shared" si="19"/>
        <v>7711.72</v>
      </c>
      <c r="AF95" s="45">
        <f t="shared" si="19"/>
        <v>24318.1</v>
      </c>
      <c r="AG95" s="45">
        <f t="shared" si="19"/>
        <v>8183.11</v>
      </c>
    </row>
    <row r="96" spans="2:33" s="38" customFormat="1" ht="20.25" customHeight="1" x14ac:dyDescent="0.25">
      <c r="B96" s="12"/>
      <c r="C96" s="12"/>
      <c r="D96" s="12"/>
      <c r="E96" s="48" t="s">
        <v>105</v>
      </c>
      <c r="F96" s="49">
        <f>+F93+F94+F95</f>
        <v>14585475.861</v>
      </c>
      <c r="G96" s="49">
        <f>+G93+G94+G95</f>
        <v>14320285.390799999</v>
      </c>
      <c r="H96" s="49">
        <f t="shared" ref="H96:Z96" si="20">+H93+H94+H95</f>
        <v>14320285.390799999</v>
      </c>
      <c r="I96" s="49">
        <f t="shared" si="20"/>
        <v>14959587.088349998</v>
      </c>
      <c r="J96" s="49">
        <f t="shared" si="20"/>
        <v>9703515.9491999969</v>
      </c>
      <c r="K96" s="49">
        <f t="shared" si="20"/>
        <v>11644219.139039999</v>
      </c>
      <c r="L96" s="49">
        <f>+L93+L94+L95</f>
        <v>8715643.9174051192</v>
      </c>
      <c r="M96" s="49">
        <f t="shared" si="20"/>
        <v>5810429.2782700788</v>
      </c>
      <c r="N96" s="49">
        <f t="shared" si="20"/>
        <v>7086930.5284450538</v>
      </c>
      <c r="O96" s="49">
        <f t="shared" si="20"/>
        <v>6412050.9865846075</v>
      </c>
      <c r="P96" s="49">
        <f t="shared" si="20"/>
        <v>4274700.657723072</v>
      </c>
      <c r="Q96" s="49">
        <f t="shared" si="20"/>
        <v>5129640.7892676862</v>
      </c>
      <c r="R96" s="49">
        <f t="shared" si="20"/>
        <v>8038004.4716793112</v>
      </c>
      <c r="S96" s="49">
        <f t="shared" si="20"/>
        <v>6430403.577343449</v>
      </c>
      <c r="T96" s="49">
        <f t="shared" si="20"/>
        <v>8186856.4063400393</v>
      </c>
      <c r="U96" s="49">
        <f t="shared" si="20"/>
        <v>5708431.1303096004</v>
      </c>
      <c r="V96" s="49">
        <f t="shared" si="20"/>
        <v>5604641.4733948801</v>
      </c>
      <c r="W96" s="49">
        <f t="shared" si="20"/>
        <v>3736427.64892992</v>
      </c>
      <c r="X96" s="49">
        <f t="shared" si="20"/>
        <v>3419760.5261784568</v>
      </c>
      <c r="Y96" s="49">
        <f t="shared" si="20"/>
        <v>2849800.4384820475</v>
      </c>
      <c r="Z96" s="49">
        <f t="shared" si="20"/>
        <v>4274700.657723072</v>
      </c>
      <c r="AB96" s="44">
        <f>+AB93+AB95</f>
        <v>13360.130000000001</v>
      </c>
      <c r="AC96" s="44">
        <f t="shared" ref="AC96:AG96" si="21">+AC93+AC95</f>
        <v>51925.65</v>
      </c>
      <c r="AD96" s="44">
        <f t="shared" si="21"/>
        <v>66518.62</v>
      </c>
      <c r="AE96" s="44">
        <f t="shared" si="21"/>
        <v>48299.72</v>
      </c>
      <c r="AF96" s="44">
        <f t="shared" si="21"/>
        <v>152308.1</v>
      </c>
      <c r="AG96" s="44">
        <f t="shared" si="21"/>
        <v>51252.11</v>
      </c>
    </row>
    <row r="97" spans="2:33" ht="12.75" x14ac:dyDescent="0.25"/>
    <row r="98" spans="2:33" s="38" customFormat="1" ht="21.75" customHeight="1" x14ac:dyDescent="0.25">
      <c r="B98" s="12"/>
      <c r="C98" s="12"/>
      <c r="D98" s="12"/>
      <c r="E98" s="74" t="s">
        <v>106</v>
      </c>
      <c r="F98" s="75">
        <f>+F87*(F$93+F$94)</f>
        <v>128821671</v>
      </c>
      <c r="G98" s="75">
        <f>+(G87)*(G$93+G$94)+1</f>
        <v>2304736805.7999997</v>
      </c>
      <c r="H98" s="75">
        <f>+H87*(H$93+H$94)</f>
        <v>84319639.199999988</v>
      </c>
      <c r="I98" s="75">
        <f t="shared" ref="I98:Z98" si="22">+I87*(I$93+I$94)</f>
        <v>0</v>
      </c>
      <c r="J98" s="75">
        <f t="shared" si="22"/>
        <v>0</v>
      </c>
      <c r="K98" s="75">
        <f t="shared" si="22"/>
        <v>0</v>
      </c>
      <c r="L98" s="75">
        <f t="shared" si="22"/>
        <v>17106268.72896</v>
      </c>
      <c r="M98" s="75">
        <f>+M87*(M$93+M$94)</f>
        <v>5702089.5763199991</v>
      </c>
      <c r="N98" s="75">
        <f t="shared" si="22"/>
        <v>0</v>
      </c>
      <c r="O98" s="75">
        <f t="shared" si="22"/>
        <v>6292493.6080319993</v>
      </c>
      <c r="P98" s="75">
        <f t="shared" si="22"/>
        <v>20974978.693439998</v>
      </c>
      <c r="Q98" s="75">
        <f t="shared" si="22"/>
        <v>20135979.545702398</v>
      </c>
      <c r="R98" s="75">
        <f t="shared" si="22"/>
        <v>0</v>
      </c>
      <c r="S98" s="75">
        <f t="shared" si="22"/>
        <v>0</v>
      </c>
      <c r="T98" s="75">
        <f t="shared" si="22"/>
        <v>0</v>
      </c>
      <c r="U98" s="75">
        <f t="shared" si="22"/>
        <v>5601993.2584000006</v>
      </c>
      <c r="V98" s="75">
        <f t="shared" si="22"/>
        <v>5500138.8355200002</v>
      </c>
      <c r="W98" s="75">
        <f t="shared" si="22"/>
        <v>3666759.2236799998</v>
      </c>
      <c r="X98" s="75">
        <f t="shared" si="22"/>
        <v>3355996.5909503992</v>
      </c>
      <c r="Y98" s="75">
        <f t="shared" si="22"/>
        <v>5593327.6515839994</v>
      </c>
      <c r="Z98" s="75">
        <f t="shared" si="22"/>
        <v>0</v>
      </c>
      <c r="AA98" s="39"/>
      <c r="AB98" s="76">
        <f>+AB87*(AB93+AB94)</f>
        <v>8667244</v>
      </c>
      <c r="AC98" s="76">
        <f t="shared" ref="AC98:AG98" si="23">+AC87*(AC93+AC94)</f>
        <v>2269020</v>
      </c>
      <c r="AD98" s="76">
        <f t="shared" si="23"/>
        <v>3130288</v>
      </c>
      <c r="AE98" s="76">
        <f t="shared" si="23"/>
        <v>2272928</v>
      </c>
      <c r="AF98" s="76">
        <f t="shared" si="23"/>
        <v>1279900</v>
      </c>
      <c r="AG98" s="76">
        <f t="shared" si="23"/>
        <v>3100968</v>
      </c>
    </row>
    <row r="99" spans="2:33" s="41" customFormat="1" ht="21.75" customHeight="1" x14ac:dyDescent="0.25">
      <c r="B99" s="12"/>
      <c r="C99" s="12"/>
      <c r="D99" s="12"/>
      <c r="E99" s="74" t="s">
        <v>107</v>
      </c>
      <c r="F99" s="75">
        <f>(F$95*F87)</f>
        <v>2447611.7489999998</v>
      </c>
      <c r="G99" s="75">
        <f>(G$95*(G87))</f>
        <v>43789999.291199997</v>
      </c>
      <c r="H99" s="75">
        <f t="shared" ref="H99:Z99" si="24">(H$95*H87)</f>
        <v>1602073.1447999999</v>
      </c>
      <c r="I99" s="75">
        <f t="shared" si="24"/>
        <v>0</v>
      </c>
      <c r="J99" s="75">
        <f t="shared" si="24"/>
        <v>0</v>
      </c>
      <c r="K99" s="75">
        <f t="shared" si="24"/>
        <v>0</v>
      </c>
      <c r="L99" s="75">
        <f t="shared" si="24"/>
        <v>325019.10585023998</v>
      </c>
      <c r="M99" s="75">
        <f t="shared" si="24"/>
        <v>108339.70195007998</v>
      </c>
      <c r="N99" s="75">
        <f t="shared" si="24"/>
        <v>0</v>
      </c>
      <c r="O99" s="75">
        <f t="shared" si="24"/>
        <v>119557.37855260799</v>
      </c>
      <c r="P99" s="75">
        <f t="shared" si="24"/>
        <v>398524.59517535992</v>
      </c>
      <c r="Q99" s="75">
        <f t="shared" si="24"/>
        <v>382583.61136834556</v>
      </c>
      <c r="R99" s="75">
        <f t="shared" si="24"/>
        <v>0</v>
      </c>
      <c r="S99" s="75">
        <f t="shared" si="24"/>
        <v>0</v>
      </c>
      <c r="T99" s="75">
        <f t="shared" si="24"/>
        <v>0</v>
      </c>
      <c r="U99" s="75">
        <f t="shared" si="24"/>
        <v>106437.87190960001</v>
      </c>
      <c r="V99" s="75">
        <f t="shared" si="24"/>
        <v>104502.63787488001</v>
      </c>
      <c r="W99" s="75">
        <f t="shared" si="24"/>
        <v>69668.425249919994</v>
      </c>
      <c r="X99" s="75">
        <f t="shared" si="24"/>
        <v>63763.935228057584</v>
      </c>
      <c r="Y99" s="75">
        <f t="shared" si="24"/>
        <v>106273.22538009599</v>
      </c>
      <c r="Z99" s="75">
        <f t="shared" si="24"/>
        <v>0</v>
      </c>
      <c r="AA99" s="40"/>
      <c r="AB99" s="76">
        <f t="shared" ref="AB99:AG99" si="25">+ROUND(((AB12+AB17+AB32+AB48+AB56+AB85)*AB95),0)</f>
        <v>1646776</v>
      </c>
      <c r="AC99" s="76">
        <f t="shared" si="25"/>
        <v>431114</v>
      </c>
      <c r="AD99" s="76">
        <f t="shared" si="25"/>
        <v>594755</v>
      </c>
      <c r="AE99" s="76">
        <f t="shared" si="25"/>
        <v>431856</v>
      </c>
      <c r="AF99" s="76">
        <f t="shared" si="25"/>
        <v>243181</v>
      </c>
      <c r="AG99" s="76">
        <f t="shared" si="25"/>
        <v>589184</v>
      </c>
    </row>
    <row r="100" spans="2:33" s="41" customFormat="1" ht="21.75" customHeight="1" x14ac:dyDescent="0.25">
      <c r="B100" s="46"/>
      <c r="C100" s="46"/>
      <c r="D100" s="46"/>
      <c r="E100" s="73" t="s">
        <v>200</v>
      </c>
      <c r="F100" s="78">
        <f>+F98+F99</f>
        <v>131269282.749</v>
      </c>
      <c r="G100" s="78">
        <f>+G98+G99</f>
        <v>2348526805.0911999</v>
      </c>
      <c r="H100" s="78">
        <f t="shared" ref="H100:Y100" si="26">+H98+H99</f>
        <v>85921712.344799995</v>
      </c>
      <c r="I100" s="78">
        <f t="shared" si="26"/>
        <v>0</v>
      </c>
      <c r="J100" s="78">
        <f t="shared" si="26"/>
        <v>0</v>
      </c>
      <c r="K100" s="78">
        <f t="shared" si="26"/>
        <v>0</v>
      </c>
      <c r="L100" s="78">
        <f t="shared" si="26"/>
        <v>17431287.834810238</v>
      </c>
      <c r="M100" s="78">
        <f>+M98+M99</f>
        <v>5810429.2782700788</v>
      </c>
      <c r="N100" s="78">
        <f t="shared" si="26"/>
        <v>0</v>
      </c>
      <c r="O100" s="78">
        <f t="shared" si="26"/>
        <v>6412050.9865846075</v>
      </c>
      <c r="P100" s="78">
        <f t="shared" si="26"/>
        <v>21373503.288615357</v>
      </c>
      <c r="Q100" s="78">
        <f t="shared" si="26"/>
        <v>20518563.157070745</v>
      </c>
      <c r="R100" s="78">
        <f t="shared" si="26"/>
        <v>0</v>
      </c>
      <c r="S100" s="78">
        <f t="shared" si="26"/>
        <v>0</v>
      </c>
      <c r="T100" s="78">
        <f t="shared" si="26"/>
        <v>0</v>
      </c>
      <c r="U100" s="78">
        <f t="shared" si="26"/>
        <v>5708431.1303096004</v>
      </c>
      <c r="V100" s="78">
        <f t="shared" si="26"/>
        <v>5604641.4733948801</v>
      </c>
      <c r="W100" s="78">
        <f t="shared" si="26"/>
        <v>3736427.64892992</v>
      </c>
      <c r="X100" s="78">
        <f t="shared" si="26"/>
        <v>3419760.5261784568</v>
      </c>
      <c r="Y100" s="78">
        <f t="shared" si="26"/>
        <v>5699600.876964095</v>
      </c>
      <c r="Z100" s="78">
        <f>+Z98+Z99</f>
        <v>0</v>
      </c>
      <c r="AA100" s="40"/>
      <c r="AB100" s="77">
        <f>+AB98+AB99</f>
        <v>10314020</v>
      </c>
      <c r="AC100" s="77">
        <f t="shared" ref="AC100:AG100" si="27">+AC98+AC99</f>
        <v>2700134</v>
      </c>
      <c r="AD100" s="77">
        <f t="shared" si="27"/>
        <v>3725043</v>
      </c>
      <c r="AE100" s="77">
        <f t="shared" si="27"/>
        <v>2704784</v>
      </c>
      <c r="AF100" s="77">
        <f t="shared" si="27"/>
        <v>1523081</v>
      </c>
      <c r="AG100" s="77">
        <f t="shared" si="27"/>
        <v>3690152</v>
      </c>
    </row>
    <row r="101" spans="2:33" ht="12.75" x14ac:dyDescent="0.25">
      <c r="D101" s="13"/>
      <c r="E101" s="14"/>
      <c r="F101" s="15"/>
      <c r="G101" s="16"/>
      <c r="H101" s="16"/>
      <c r="I101" s="16"/>
      <c r="J101" s="16"/>
      <c r="K101" s="16"/>
      <c r="L101" s="16"/>
      <c r="M101" s="16"/>
    </row>
    <row r="102" spans="2:33" ht="31.5" x14ac:dyDescent="0.25">
      <c r="C102" s="79" t="s">
        <v>108</v>
      </c>
      <c r="D102" s="79" t="s">
        <v>109</v>
      </c>
    </row>
    <row r="103" spans="2:33" ht="15.75" x14ac:dyDescent="0.25">
      <c r="C103" s="63">
        <f>+AA11+AA16+AA31+AA47+AA55+AA84</f>
        <v>2661432495.3861279</v>
      </c>
      <c r="D103" s="63">
        <f>SUM(AB100:AG100)</f>
        <v>24657214</v>
      </c>
    </row>
    <row r="104" spans="2:33" ht="27" customHeight="1" x14ac:dyDescent="0.25"/>
    <row r="105" spans="2:33" ht="34.5" customHeight="1" x14ac:dyDescent="0.25">
      <c r="C105" s="80" t="s">
        <v>0</v>
      </c>
      <c r="D105" s="80" t="s">
        <v>110</v>
      </c>
      <c r="E105" s="80" t="s">
        <v>111</v>
      </c>
      <c r="F105" s="80" t="s">
        <v>203</v>
      </c>
      <c r="G105" s="80" t="s">
        <v>112</v>
      </c>
      <c r="K105" s="20"/>
      <c r="L105" s="112">
        <f>5.2/100</f>
        <v>5.2000000000000005E-2</v>
      </c>
      <c r="Y105" s="7"/>
    </row>
    <row r="106" spans="2:33" ht="20.25" customHeight="1" x14ac:dyDescent="0.25">
      <c r="C106" s="25" t="s">
        <v>113</v>
      </c>
      <c r="D106" s="60">
        <f>+AA11*0.4</f>
        <v>98745844.867911384</v>
      </c>
      <c r="E106" s="60">
        <f>+((AB12*AB96)+(AC12*AC96)+(AD12*AD96)+(AE12*AE96)+(AF12*AF96)+(AG12*AG96))*0.4</f>
        <v>1047093.3760000002</v>
      </c>
      <c r="F106" s="61">
        <f>+E106*0.052</f>
        <v>54448.855552000008</v>
      </c>
      <c r="G106" s="60">
        <f t="shared" ref="G106:G112" si="28">SUM(D106:F106)</f>
        <v>99847387.099463388</v>
      </c>
      <c r="K106" s="21"/>
      <c r="L106" s="20"/>
      <c r="Y106" s="7"/>
    </row>
    <row r="107" spans="2:33" ht="20.25" customHeight="1" x14ac:dyDescent="0.25">
      <c r="C107" s="25" t="s">
        <v>42</v>
      </c>
      <c r="D107" s="60">
        <f>+AA16*0.4</f>
        <v>101478489.67262085</v>
      </c>
      <c r="E107" s="60">
        <f>+((AB17*AB96)+(AC17*AC96)+(AD17*AD96)+(AE17*AE96)+(AF17*AF96)+(AG17*AG96))*0.4</f>
        <v>350175.58800000005</v>
      </c>
      <c r="F107" s="61">
        <f t="shared" ref="F107:F111" si="29">+E107*0.052</f>
        <v>18209.130576000003</v>
      </c>
      <c r="G107" s="60">
        <f t="shared" si="28"/>
        <v>101846874.39119685</v>
      </c>
      <c r="K107" s="21"/>
      <c r="L107" s="20"/>
      <c r="Y107" s="7"/>
    </row>
    <row r="108" spans="2:33" ht="20.25" customHeight="1" x14ac:dyDescent="0.25">
      <c r="C108" s="25" t="s">
        <v>50</v>
      </c>
      <c r="D108" s="60">
        <f>+AA31*0.4</f>
        <v>144143272.77772799</v>
      </c>
      <c r="E108" s="60">
        <f>+((AB32*AB96)+(AC32*AC96)+(AD32*AD96)+(AE32*AE96)+(AF32*AF96)+(AG32*AG96))*0.4</f>
        <v>1540769.1600000001</v>
      </c>
      <c r="F108" s="61">
        <f t="shared" si="29"/>
        <v>80119.996320000006</v>
      </c>
      <c r="G108" s="60">
        <f t="shared" si="28"/>
        <v>145764161.934048</v>
      </c>
      <c r="K108" s="21"/>
      <c r="L108" s="20"/>
      <c r="Y108" s="7"/>
    </row>
    <row r="109" spans="2:33" ht="20.25" customHeight="1" x14ac:dyDescent="0.25">
      <c r="C109" s="25" t="s">
        <v>114</v>
      </c>
      <c r="D109" s="60">
        <f>+AA47*0.4</f>
        <v>167340709.4468562</v>
      </c>
      <c r="E109" s="60">
        <f>+((AB48*AB96)+(AC48*AC96)+(AD48*AD96)+(AE48*AE96)+(AF48*AF96)+(AG48*AG96))*0.4</f>
        <v>1482654.32</v>
      </c>
      <c r="F109" s="61">
        <f t="shared" si="29"/>
        <v>77098.024640000003</v>
      </c>
      <c r="G109" s="60">
        <f t="shared" si="28"/>
        <v>168900461.79149619</v>
      </c>
      <c r="K109" s="21"/>
      <c r="L109" s="20"/>
      <c r="Y109" s="7"/>
    </row>
    <row r="110" spans="2:33" ht="20.25" customHeight="1" x14ac:dyDescent="0.25">
      <c r="C110" s="25" t="s">
        <v>75</v>
      </c>
      <c r="D110" s="60">
        <f>+AA55*0.4</f>
        <v>158078842.74681845</v>
      </c>
      <c r="E110" s="60">
        <f>+((AB56*AB96)+(AC56*AC96)+(AD56*AD96)+(AE56*AE96)+(AF56*AF96)+(AG56*AG96))*0.4</f>
        <v>1240905.3440000003</v>
      </c>
      <c r="F110" s="61">
        <f t="shared" si="29"/>
        <v>64527.077888000014</v>
      </c>
      <c r="G110" s="60">
        <f t="shared" si="28"/>
        <v>159384275.16870648</v>
      </c>
      <c r="K110" s="21"/>
      <c r="L110" s="20"/>
      <c r="Y110" s="7"/>
    </row>
    <row r="111" spans="2:33" ht="20.25" customHeight="1" x14ac:dyDescent="0.25">
      <c r="C111" s="25" t="s">
        <v>78</v>
      </c>
      <c r="D111" s="60">
        <f>+AA84*0.4</f>
        <v>394785838.64251631</v>
      </c>
      <c r="E111" s="60">
        <f>+((AB85*AB96)+(AC85*AC96)+(AD85*AD96)+(AE85*AE96)+(AF85*AF96)+(AG85*AG96))*0.4</f>
        <v>4201287.8600000013</v>
      </c>
      <c r="F111" s="61">
        <f t="shared" si="29"/>
        <v>218466.96872000006</v>
      </c>
      <c r="G111" s="60">
        <f t="shared" si="28"/>
        <v>399205593.47123635</v>
      </c>
      <c r="K111" s="21"/>
      <c r="L111" s="20"/>
      <c r="Y111" s="7"/>
    </row>
    <row r="112" spans="2:33" ht="20.25" customHeight="1" x14ac:dyDescent="0.25">
      <c r="C112" s="26" t="s">
        <v>115</v>
      </c>
      <c r="D112" s="62">
        <f>SUM(D106:D111)</f>
        <v>1064572998.1544511</v>
      </c>
      <c r="E112" s="62">
        <f>SUM(E106:E111)</f>
        <v>9862885.6480000019</v>
      </c>
      <c r="F112" s="62">
        <f>SUM(F106:F111)</f>
        <v>512870.05369600008</v>
      </c>
      <c r="G112" s="62">
        <f t="shared" si="28"/>
        <v>1074948753.8561471</v>
      </c>
      <c r="K112" s="20"/>
      <c r="L112" s="20"/>
      <c r="Y112" s="7"/>
    </row>
  </sheetData>
  <mergeCells count="6">
    <mergeCell ref="B85:E85"/>
    <mergeCell ref="B12:E12"/>
    <mergeCell ref="B17:E17"/>
    <mergeCell ref="B32:E32"/>
    <mergeCell ref="B48:E48"/>
    <mergeCell ref="B56:E56"/>
  </mergeCells>
  <pageMargins left="0.27559055118110237" right="0.31496062992125984" top="0.74803149606299213" bottom="0.74803149606299213" header="0.31496062992125984" footer="0.31496062992125984"/>
  <pageSetup paperSize="14" scale="50" orientation="landscape" r:id="rId1"/>
  <ignoredErrors>
    <ignoredError sqref="G90:Z90 G98:G99 AA56 AA48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H113"/>
  <sheetViews>
    <sheetView showGridLines="0" zoomScale="80" zoomScaleNormal="80" workbookViewId="0">
      <pane xSplit="5" ySplit="1" topLeftCell="F92" activePane="bottomRight" state="frozen"/>
      <selection pane="topRight" activeCell="F1" sqref="F1"/>
      <selection pane="bottomLeft" activeCell="A2" sqref="A2"/>
      <selection pane="bottomRight" activeCell="F108" sqref="F108:F112"/>
    </sheetView>
  </sheetViews>
  <sheetFormatPr baseColWidth="10" defaultColWidth="9.140625" defaultRowHeight="12.75" x14ac:dyDescent="0.25"/>
  <cols>
    <col min="1" max="1" width="3.7109375" style="7" customWidth="1"/>
    <col min="2" max="2" width="12.85546875" style="12" customWidth="1"/>
    <col min="3" max="3" width="34" style="8" customWidth="1"/>
    <col min="4" max="4" width="29.85546875" style="8" customWidth="1"/>
    <col min="5" max="5" width="20.5703125" style="8" customWidth="1"/>
    <col min="6" max="6" width="21.28515625" style="9" customWidth="1"/>
    <col min="7" max="7" width="20.28515625" style="9" customWidth="1"/>
    <col min="8" max="8" width="17.140625" style="9" customWidth="1"/>
    <col min="9" max="9" width="17.140625" style="9" hidden="1" customWidth="1"/>
    <col min="10" max="10" width="20.42578125" style="9" hidden="1" customWidth="1"/>
    <col min="11" max="11" width="21.42578125" style="9" hidden="1" customWidth="1"/>
    <col min="12" max="12" width="16.7109375" style="9" customWidth="1"/>
    <col min="13" max="13" width="17.42578125" style="9" customWidth="1"/>
    <col min="14" max="14" width="13.7109375" style="9" hidden="1" customWidth="1"/>
    <col min="15" max="15" width="12.7109375" style="9" customWidth="1"/>
    <col min="16" max="17" width="17.42578125" style="9" customWidth="1"/>
    <col min="18" max="18" width="17.5703125" style="9" hidden="1" customWidth="1"/>
    <col min="19" max="19" width="18" style="9" hidden="1" customWidth="1"/>
    <col min="20" max="20" width="17.28515625" style="9" hidden="1" customWidth="1"/>
    <col min="21" max="21" width="14.7109375" style="9" customWidth="1"/>
    <col min="22" max="22" width="13.28515625" style="9" customWidth="1"/>
    <col min="23" max="23" width="15.140625" style="9" customWidth="1"/>
    <col min="24" max="24" width="16.28515625" style="9" customWidth="1"/>
    <col min="25" max="25" width="15" style="9" customWidth="1"/>
    <col min="26" max="26" width="16.7109375" style="7" customWidth="1"/>
    <col min="27" max="27" width="22.140625" style="7" customWidth="1"/>
    <col min="28" max="28" width="21.140625" style="7" customWidth="1"/>
    <col min="29" max="29" width="16.28515625" style="7" bestFit="1" customWidth="1"/>
    <col min="30" max="30" width="15.7109375" style="7" bestFit="1" customWidth="1"/>
    <col min="31" max="31" width="20.5703125" style="7" bestFit="1" customWidth="1"/>
    <col min="32" max="32" width="17.85546875" style="7" customWidth="1"/>
    <col min="33" max="33" width="17.28515625" style="7" customWidth="1"/>
    <col min="34" max="16384" width="9.140625" style="7"/>
  </cols>
  <sheetData>
    <row r="1" spans="2:33" s="1" customFormat="1" ht="99.75" customHeight="1" x14ac:dyDescent="0.25">
      <c r="B1" s="81" t="s">
        <v>0</v>
      </c>
      <c r="C1" s="81" t="s">
        <v>1</v>
      </c>
      <c r="D1" s="81" t="s">
        <v>2</v>
      </c>
      <c r="E1" s="81" t="s">
        <v>3</v>
      </c>
      <c r="F1" s="82" t="s">
        <v>4</v>
      </c>
      <c r="G1" s="82" t="s">
        <v>5</v>
      </c>
      <c r="H1" s="82" t="s">
        <v>6</v>
      </c>
      <c r="I1" s="82" t="s">
        <v>7</v>
      </c>
      <c r="J1" s="82" t="s">
        <v>8</v>
      </c>
      <c r="K1" s="82" t="s">
        <v>9</v>
      </c>
      <c r="L1" s="82" t="s">
        <v>10</v>
      </c>
      <c r="M1" s="82" t="s">
        <v>11</v>
      </c>
      <c r="N1" s="82" t="s">
        <v>12</v>
      </c>
      <c r="O1" s="82" t="s">
        <v>13</v>
      </c>
      <c r="P1" s="82" t="s">
        <v>14</v>
      </c>
      <c r="Q1" s="82" t="s">
        <v>15</v>
      </c>
      <c r="R1" s="82" t="s">
        <v>16</v>
      </c>
      <c r="S1" s="82" t="s">
        <v>17</v>
      </c>
      <c r="T1" s="81" t="s">
        <v>18</v>
      </c>
      <c r="U1" s="82" t="s">
        <v>19</v>
      </c>
      <c r="V1" s="82" t="s">
        <v>20</v>
      </c>
      <c r="W1" s="83" t="s">
        <v>21</v>
      </c>
      <c r="X1" s="82" t="s">
        <v>22</v>
      </c>
      <c r="Y1" s="82" t="s">
        <v>23</v>
      </c>
      <c r="Z1" s="82" t="s">
        <v>24</v>
      </c>
      <c r="AA1" s="84" t="s">
        <v>25</v>
      </c>
      <c r="AB1" s="82" t="s">
        <v>26</v>
      </c>
      <c r="AC1" s="82" t="s">
        <v>27</v>
      </c>
      <c r="AD1" s="82" t="s">
        <v>28</v>
      </c>
      <c r="AE1" s="82" t="s">
        <v>29</v>
      </c>
      <c r="AF1" s="82" t="s">
        <v>30</v>
      </c>
      <c r="AG1" s="82" t="s">
        <v>31</v>
      </c>
    </row>
    <row r="2" spans="2:33" s="2" customFormat="1" ht="49.5" customHeight="1" x14ac:dyDescent="0.25">
      <c r="B2" s="30" t="s">
        <v>32</v>
      </c>
      <c r="C2" s="27" t="s">
        <v>33</v>
      </c>
      <c r="D2" s="27" t="s">
        <v>151</v>
      </c>
      <c r="E2" s="27" t="s">
        <v>35</v>
      </c>
      <c r="F2" s="28">
        <v>0</v>
      </c>
      <c r="G2" s="31">
        <v>1</v>
      </c>
      <c r="H2" s="28">
        <v>0</v>
      </c>
      <c r="I2" s="28">
        <v>0</v>
      </c>
      <c r="J2" s="28">
        <v>0</v>
      </c>
      <c r="K2" s="28">
        <v>0</v>
      </c>
      <c r="L2" s="28">
        <v>0</v>
      </c>
      <c r="M2" s="28">
        <v>0</v>
      </c>
      <c r="N2" s="28">
        <v>0</v>
      </c>
      <c r="O2" s="28">
        <v>0</v>
      </c>
      <c r="P2" s="28">
        <v>0</v>
      </c>
      <c r="Q2" s="28">
        <v>0</v>
      </c>
      <c r="R2" s="28">
        <v>0</v>
      </c>
      <c r="S2" s="28">
        <v>0</v>
      </c>
      <c r="T2" s="28">
        <v>0</v>
      </c>
      <c r="U2" s="28">
        <v>0</v>
      </c>
      <c r="V2" s="28">
        <v>0</v>
      </c>
      <c r="W2" s="28">
        <v>0</v>
      </c>
      <c r="X2" s="28">
        <v>0</v>
      </c>
      <c r="Y2" s="28">
        <v>0</v>
      </c>
      <c r="Z2" s="28">
        <v>0</v>
      </c>
      <c r="AB2" s="35">
        <v>19</v>
      </c>
      <c r="AC2" s="35">
        <v>2</v>
      </c>
      <c r="AD2" s="35">
        <v>1</v>
      </c>
      <c r="AE2" s="35">
        <v>1</v>
      </c>
      <c r="AF2" s="35">
        <v>1</v>
      </c>
      <c r="AG2" s="35">
        <v>2</v>
      </c>
    </row>
    <row r="3" spans="2:33" s="2" customFormat="1" ht="48" customHeight="1" x14ac:dyDescent="0.25">
      <c r="B3" s="29" t="s">
        <v>32</v>
      </c>
      <c r="C3" s="27" t="s">
        <v>34</v>
      </c>
      <c r="D3" s="27" t="s">
        <v>151</v>
      </c>
      <c r="E3" s="27" t="s">
        <v>35</v>
      </c>
      <c r="F3" s="28">
        <v>0</v>
      </c>
      <c r="G3" s="31">
        <v>3</v>
      </c>
      <c r="H3" s="28">
        <v>0</v>
      </c>
      <c r="I3" s="28">
        <v>0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0</v>
      </c>
      <c r="R3" s="28">
        <v>0</v>
      </c>
      <c r="S3" s="28">
        <v>0</v>
      </c>
      <c r="T3" s="28">
        <v>0</v>
      </c>
      <c r="U3" s="28">
        <v>0</v>
      </c>
      <c r="V3" s="28">
        <v>0</v>
      </c>
      <c r="W3" s="28">
        <v>0</v>
      </c>
      <c r="X3" s="28">
        <v>0</v>
      </c>
      <c r="Y3" s="28">
        <v>0</v>
      </c>
      <c r="Z3" s="28">
        <v>0</v>
      </c>
      <c r="AB3" s="32">
        <v>0</v>
      </c>
      <c r="AC3" s="32">
        <v>0</v>
      </c>
      <c r="AD3" s="32">
        <v>0</v>
      </c>
      <c r="AE3" s="32">
        <v>0</v>
      </c>
      <c r="AF3" s="32">
        <v>0</v>
      </c>
      <c r="AG3" s="32">
        <v>0</v>
      </c>
    </row>
    <row r="4" spans="2:33" s="2" customFormat="1" ht="48" customHeight="1" x14ac:dyDescent="0.25">
      <c r="B4" s="29" t="s">
        <v>32</v>
      </c>
      <c r="C4" s="27" t="s">
        <v>34</v>
      </c>
      <c r="D4" s="27" t="s">
        <v>150</v>
      </c>
      <c r="E4" s="27" t="s">
        <v>35</v>
      </c>
      <c r="F4" s="28">
        <v>0</v>
      </c>
      <c r="G4" s="31">
        <v>2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B4" s="32">
        <v>15</v>
      </c>
      <c r="AC4" s="32">
        <v>0</v>
      </c>
      <c r="AD4" s="35">
        <v>1</v>
      </c>
      <c r="AE4" s="35">
        <v>1</v>
      </c>
      <c r="AF4" s="32">
        <v>0</v>
      </c>
      <c r="AG4" s="35">
        <v>1</v>
      </c>
    </row>
    <row r="5" spans="2:33" s="2" customFormat="1" ht="49.5" customHeight="1" x14ac:dyDescent="0.25">
      <c r="B5" s="29" t="s">
        <v>32</v>
      </c>
      <c r="C5" s="27" t="s">
        <v>34</v>
      </c>
      <c r="D5" s="27" t="s">
        <v>178</v>
      </c>
      <c r="E5" s="27" t="s">
        <v>35</v>
      </c>
      <c r="F5" s="28">
        <v>0</v>
      </c>
      <c r="G5" s="31">
        <v>1</v>
      </c>
      <c r="H5" s="28">
        <v>0</v>
      </c>
      <c r="I5" s="28">
        <v>0</v>
      </c>
      <c r="J5" s="28">
        <v>0</v>
      </c>
      <c r="K5" s="28">
        <v>0</v>
      </c>
      <c r="L5" s="28">
        <v>0</v>
      </c>
      <c r="M5" s="28">
        <v>0</v>
      </c>
      <c r="N5" s="28">
        <v>0</v>
      </c>
      <c r="O5" s="28">
        <v>0</v>
      </c>
      <c r="P5" s="28">
        <v>0</v>
      </c>
      <c r="Q5" s="28">
        <v>0</v>
      </c>
      <c r="R5" s="28">
        <v>0</v>
      </c>
      <c r="S5" s="28">
        <v>0</v>
      </c>
      <c r="T5" s="28">
        <v>0</v>
      </c>
      <c r="U5" s="28">
        <v>0</v>
      </c>
      <c r="V5" s="28">
        <v>0</v>
      </c>
      <c r="W5" s="28">
        <v>0</v>
      </c>
      <c r="X5" s="28">
        <v>0</v>
      </c>
      <c r="Y5" s="28">
        <v>0</v>
      </c>
      <c r="Z5" s="28">
        <v>0</v>
      </c>
      <c r="AB5" s="32">
        <v>7</v>
      </c>
      <c r="AC5" s="32">
        <v>0</v>
      </c>
      <c r="AD5" s="35">
        <v>1</v>
      </c>
      <c r="AE5" s="35">
        <v>1</v>
      </c>
      <c r="AF5" s="32">
        <v>0</v>
      </c>
      <c r="AG5" s="35">
        <v>1</v>
      </c>
    </row>
    <row r="6" spans="2:33" s="2" customFormat="1" ht="49.5" customHeight="1" x14ac:dyDescent="0.25">
      <c r="B6" s="29" t="s">
        <v>32</v>
      </c>
      <c r="C6" s="27" t="s">
        <v>34</v>
      </c>
      <c r="D6" s="27" t="s">
        <v>144</v>
      </c>
      <c r="E6" s="27" t="s">
        <v>36</v>
      </c>
      <c r="F6" s="28">
        <v>0</v>
      </c>
      <c r="G6" s="31">
        <v>2</v>
      </c>
      <c r="H6" s="28">
        <v>0</v>
      </c>
      <c r="I6" s="28">
        <v>0</v>
      </c>
      <c r="J6" s="28">
        <v>0</v>
      </c>
      <c r="K6" s="28">
        <v>0</v>
      </c>
      <c r="L6" s="28">
        <v>0</v>
      </c>
      <c r="M6" s="28">
        <v>0</v>
      </c>
      <c r="N6" s="28">
        <v>0</v>
      </c>
      <c r="O6" s="28">
        <v>0</v>
      </c>
      <c r="P6" s="28">
        <v>0</v>
      </c>
      <c r="Q6" s="28">
        <v>0</v>
      </c>
      <c r="R6" s="28">
        <v>0</v>
      </c>
      <c r="S6" s="28">
        <v>0</v>
      </c>
      <c r="T6" s="28">
        <v>0</v>
      </c>
      <c r="U6" s="28">
        <v>0</v>
      </c>
      <c r="V6" s="28">
        <v>0</v>
      </c>
      <c r="W6" s="28">
        <v>0</v>
      </c>
      <c r="X6" s="31">
        <v>1</v>
      </c>
      <c r="Y6" s="28">
        <v>0</v>
      </c>
      <c r="Z6" s="28">
        <v>0</v>
      </c>
      <c r="AB6" s="32">
        <v>11</v>
      </c>
      <c r="AC6" s="32">
        <v>0</v>
      </c>
      <c r="AD6" s="35">
        <v>1</v>
      </c>
      <c r="AE6" s="35">
        <v>1</v>
      </c>
      <c r="AF6" s="32">
        <v>0</v>
      </c>
      <c r="AG6" s="35">
        <v>1</v>
      </c>
    </row>
    <row r="7" spans="2:33" s="2" customFormat="1" ht="48" customHeight="1" x14ac:dyDescent="0.25">
      <c r="B7" s="29" t="s">
        <v>32</v>
      </c>
      <c r="C7" s="27" t="s">
        <v>34</v>
      </c>
      <c r="D7" s="27" t="s">
        <v>145</v>
      </c>
      <c r="E7" s="27" t="s">
        <v>36</v>
      </c>
      <c r="F7" s="28">
        <v>0</v>
      </c>
      <c r="G7" s="31">
        <v>1</v>
      </c>
      <c r="H7" s="28">
        <v>0</v>
      </c>
      <c r="I7" s="28"/>
      <c r="J7" s="28"/>
      <c r="K7" s="28"/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B7" s="32">
        <v>0</v>
      </c>
      <c r="AC7" s="32">
        <v>0</v>
      </c>
      <c r="AD7" s="32">
        <v>0</v>
      </c>
      <c r="AE7" s="32">
        <v>0</v>
      </c>
      <c r="AF7" s="32">
        <v>0</v>
      </c>
      <c r="AG7" s="32">
        <v>0</v>
      </c>
    </row>
    <row r="8" spans="2:33" s="2" customFormat="1" ht="48" customHeight="1" x14ac:dyDescent="0.25">
      <c r="B8" s="29" t="s">
        <v>32</v>
      </c>
      <c r="C8" s="27" t="s">
        <v>34</v>
      </c>
      <c r="D8" s="27" t="s">
        <v>179</v>
      </c>
      <c r="E8" s="27" t="s">
        <v>37</v>
      </c>
      <c r="F8" s="28">
        <v>0</v>
      </c>
      <c r="G8" s="31">
        <v>2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0</v>
      </c>
      <c r="W8" s="28">
        <v>0</v>
      </c>
      <c r="X8" s="28">
        <v>0</v>
      </c>
      <c r="Y8" s="28">
        <v>0</v>
      </c>
      <c r="Z8" s="28">
        <v>0</v>
      </c>
      <c r="AB8" s="35">
        <v>16</v>
      </c>
      <c r="AC8" s="32">
        <v>0</v>
      </c>
      <c r="AD8" s="35">
        <v>1</v>
      </c>
      <c r="AE8" s="35">
        <v>1</v>
      </c>
      <c r="AF8" s="32">
        <v>0</v>
      </c>
      <c r="AG8" s="35">
        <v>3</v>
      </c>
    </row>
    <row r="9" spans="2:33" s="2" customFormat="1" ht="48" customHeight="1" x14ac:dyDescent="0.25">
      <c r="B9" s="29" t="s">
        <v>32</v>
      </c>
      <c r="C9" s="27" t="s">
        <v>34</v>
      </c>
      <c r="D9" s="27" t="s">
        <v>38</v>
      </c>
      <c r="E9" s="27" t="s">
        <v>37</v>
      </c>
      <c r="F9" s="28">
        <v>0</v>
      </c>
      <c r="G9" s="31">
        <v>2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99">
        <f>+AA11*1</f>
        <v>246864612.16977844</v>
      </c>
      <c r="AB9" s="32">
        <v>0</v>
      </c>
      <c r="AC9" s="32">
        <v>0</v>
      </c>
      <c r="AD9" s="32">
        <v>0</v>
      </c>
      <c r="AE9" s="32">
        <v>0</v>
      </c>
      <c r="AF9" s="32">
        <v>0</v>
      </c>
      <c r="AG9" s="32">
        <v>0</v>
      </c>
    </row>
    <row r="10" spans="2:33" s="2" customFormat="1" ht="48" customHeight="1" x14ac:dyDescent="0.25">
      <c r="B10" s="29" t="s">
        <v>32</v>
      </c>
      <c r="C10" s="27" t="s">
        <v>34</v>
      </c>
      <c r="D10" s="27" t="s">
        <v>39</v>
      </c>
      <c r="E10" s="27" t="s">
        <v>40</v>
      </c>
      <c r="F10" s="28">
        <v>0</v>
      </c>
      <c r="G10" s="31">
        <v>1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B10" s="32">
        <v>0</v>
      </c>
      <c r="AC10" s="32">
        <v>0</v>
      </c>
      <c r="AD10" s="32">
        <v>0</v>
      </c>
      <c r="AE10" s="32">
        <v>0</v>
      </c>
      <c r="AF10" s="32">
        <v>0</v>
      </c>
      <c r="AG10" s="32">
        <v>0</v>
      </c>
    </row>
    <row r="11" spans="2:33" s="2" customFormat="1" ht="48" customHeight="1" x14ac:dyDescent="0.25">
      <c r="B11" s="29" t="s">
        <v>32</v>
      </c>
      <c r="C11" s="27" t="s">
        <v>34</v>
      </c>
      <c r="D11" s="27" t="s">
        <v>180</v>
      </c>
      <c r="E11" s="27" t="s">
        <v>40</v>
      </c>
      <c r="F11" s="28">
        <v>0</v>
      </c>
      <c r="G11" s="31">
        <v>2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99">
        <f>+(G12*G97)+(X12*X97)</f>
        <v>246864612.16977844</v>
      </c>
      <c r="AB11" s="35">
        <v>15</v>
      </c>
      <c r="AC11" s="32">
        <v>0</v>
      </c>
      <c r="AD11" s="35">
        <v>1</v>
      </c>
      <c r="AE11" s="35">
        <v>1</v>
      </c>
      <c r="AF11" s="32">
        <v>0</v>
      </c>
      <c r="AG11" s="35">
        <v>3</v>
      </c>
    </row>
    <row r="12" spans="2:33" s="53" customFormat="1" ht="19.5" customHeight="1" x14ac:dyDescent="0.25">
      <c r="B12" s="165" t="s">
        <v>41</v>
      </c>
      <c r="C12" s="165"/>
      <c r="D12" s="165"/>
      <c r="E12" s="165"/>
      <c r="F12" s="85">
        <f t="shared" ref="F12:Z12" si="0">SUM(F2:F11)</f>
        <v>0</v>
      </c>
      <c r="G12" s="85">
        <f t="shared" si="0"/>
        <v>17</v>
      </c>
      <c r="H12" s="85">
        <f t="shared" si="0"/>
        <v>0</v>
      </c>
      <c r="I12" s="85">
        <f t="shared" si="0"/>
        <v>0</v>
      </c>
      <c r="J12" s="85">
        <f t="shared" si="0"/>
        <v>0</v>
      </c>
      <c r="K12" s="85">
        <f t="shared" si="0"/>
        <v>0</v>
      </c>
      <c r="L12" s="85">
        <f t="shared" si="0"/>
        <v>0</v>
      </c>
      <c r="M12" s="85">
        <f t="shared" si="0"/>
        <v>0</v>
      </c>
      <c r="N12" s="85">
        <f t="shared" si="0"/>
        <v>0</v>
      </c>
      <c r="O12" s="85">
        <f t="shared" si="0"/>
        <v>0</v>
      </c>
      <c r="P12" s="85">
        <f t="shared" si="0"/>
        <v>0</v>
      </c>
      <c r="Q12" s="85">
        <f t="shared" si="0"/>
        <v>0</v>
      </c>
      <c r="R12" s="85">
        <f t="shared" si="0"/>
        <v>0</v>
      </c>
      <c r="S12" s="85">
        <f t="shared" si="0"/>
        <v>0</v>
      </c>
      <c r="T12" s="85">
        <f t="shared" si="0"/>
        <v>0</v>
      </c>
      <c r="U12" s="85">
        <f t="shared" si="0"/>
        <v>0</v>
      </c>
      <c r="V12" s="85">
        <f t="shared" si="0"/>
        <v>0</v>
      </c>
      <c r="W12" s="85">
        <f t="shared" si="0"/>
        <v>0</v>
      </c>
      <c r="X12" s="85">
        <f t="shared" si="0"/>
        <v>1</v>
      </c>
      <c r="Y12" s="85">
        <f t="shared" si="0"/>
        <v>0</v>
      </c>
      <c r="Z12" s="85">
        <f t="shared" si="0"/>
        <v>0</v>
      </c>
      <c r="AA12" s="86">
        <f>SUM(F12:Z12)</f>
        <v>18</v>
      </c>
      <c r="AB12" s="87">
        <f t="shared" ref="AB12:AG12" si="1">SUM(AB2:AB11)</f>
        <v>83</v>
      </c>
      <c r="AC12" s="87">
        <f t="shared" si="1"/>
        <v>2</v>
      </c>
      <c r="AD12" s="87">
        <f t="shared" si="1"/>
        <v>6</v>
      </c>
      <c r="AE12" s="87">
        <f t="shared" si="1"/>
        <v>6</v>
      </c>
      <c r="AF12" s="87">
        <f t="shared" si="1"/>
        <v>1</v>
      </c>
      <c r="AG12" s="87">
        <f t="shared" si="1"/>
        <v>11</v>
      </c>
    </row>
    <row r="13" spans="2:33" s="2" customFormat="1" ht="49.5" customHeight="1" x14ac:dyDescent="0.25">
      <c r="B13" s="30" t="s">
        <v>42</v>
      </c>
      <c r="C13" s="27" t="s">
        <v>43</v>
      </c>
      <c r="D13" s="27" t="s">
        <v>181</v>
      </c>
      <c r="E13" s="27" t="s">
        <v>45</v>
      </c>
      <c r="F13" s="28">
        <v>0</v>
      </c>
      <c r="G13" s="31">
        <v>1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32">
        <v>0</v>
      </c>
    </row>
    <row r="14" spans="2:33" s="2" customFormat="1" ht="48" customHeight="1" x14ac:dyDescent="0.25">
      <c r="B14" s="29" t="s">
        <v>42</v>
      </c>
      <c r="C14" s="27" t="s">
        <v>44</v>
      </c>
      <c r="D14" s="27" t="s">
        <v>181</v>
      </c>
      <c r="E14" s="27" t="s">
        <v>45</v>
      </c>
      <c r="F14" s="31">
        <v>1</v>
      </c>
      <c r="G14" s="31">
        <v>3</v>
      </c>
      <c r="H14" s="31">
        <v>1</v>
      </c>
      <c r="I14" s="28">
        <v>0</v>
      </c>
      <c r="J14" s="28">
        <v>0</v>
      </c>
      <c r="K14" s="28">
        <v>0</v>
      </c>
      <c r="L14" s="28">
        <v>0</v>
      </c>
      <c r="M14" s="31">
        <v>1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31">
        <v>1</v>
      </c>
      <c r="Z14" s="28">
        <v>0</v>
      </c>
      <c r="AB14" s="35">
        <v>58</v>
      </c>
      <c r="AC14" s="35">
        <v>2</v>
      </c>
      <c r="AD14" s="35">
        <v>2</v>
      </c>
      <c r="AE14" s="35">
        <v>2</v>
      </c>
      <c r="AF14" s="35">
        <v>1</v>
      </c>
      <c r="AG14" s="35">
        <v>5</v>
      </c>
    </row>
    <row r="15" spans="2:33" s="2" customFormat="1" ht="47.25" customHeight="1" x14ac:dyDescent="0.25">
      <c r="B15" s="29" t="s">
        <v>42</v>
      </c>
      <c r="C15" s="27" t="s">
        <v>46</v>
      </c>
      <c r="D15" s="27" t="s">
        <v>181</v>
      </c>
      <c r="E15" s="27" t="s">
        <v>45</v>
      </c>
      <c r="F15" s="31"/>
      <c r="G15" s="31"/>
      <c r="H15" s="31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B15" s="35"/>
      <c r="AC15" s="32"/>
      <c r="AD15" s="32"/>
      <c r="AE15" s="32"/>
      <c r="AF15" s="32"/>
      <c r="AG15" s="32"/>
    </row>
    <row r="16" spans="2:33" s="2" customFormat="1" ht="48" customHeight="1" x14ac:dyDescent="0.25">
      <c r="B16" s="29" t="s">
        <v>42</v>
      </c>
      <c r="C16" s="27" t="s">
        <v>44</v>
      </c>
      <c r="D16" s="27" t="s">
        <v>152</v>
      </c>
      <c r="E16" s="27" t="s">
        <v>47</v>
      </c>
      <c r="F16" s="31">
        <v>3</v>
      </c>
      <c r="G16" s="31">
        <v>3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99">
        <f>+AA17*1</f>
        <v>253696224.18155211</v>
      </c>
      <c r="AB16" s="35">
        <v>10</v>
      </c>
      <c r="AC16" s="32">
        <v>0</v>
      </c>
      <c r="AD16" s="35">
        <v>1</v>
      </c>
      <c r="AE16" s="35">
        <v>1</v>
      </c>
      <c r="AF16" s="32">
        <v>0</v>
      </c>
      <c r="AG16" s="35">
        <v>3</v>
      </c>
    </row>
    <row r="17" spans="2:34" s="2" customFormat="1" ht="48" customHeight="1" x14ac:dyDescent="0.25">
      <c r="B17" s="29" t="s">
        <v>42</v>
      </c>
      <c r="C17" s="27" t="s">
        <v>44</v>
      </c>
      <c r="D17" s="27" t="s">
        <v>146</v>
      </c>
      <c r="E17" s="27" t="s">
        <v>48</v>
      </c>
      <c r="F17" s="31">
        <v>2</v>
      </c>
      <c r="G17" s="31">
        <v>3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99">
        <f>+(F18*F97)+(G18*G97)+(H18*H97)+(M18*M97)+(P18*P97)+(Y18*Y97)</f>
        <v>253696224.18155211</v>
      </c>
      <c r="AB17" s="35">
        <v>10</v>
      </c>
      <c r="AC17" s="32">
        <v>0</v>
      </c>
      <c r="AD17" s="35">
        <v>1</v>
      </c>
      <c r="AE17" s="35">
        <v>1</v>
      </c>
      <c r="AF17" s="32">
        <v>0</v>
      </c>
      <c r="AG17" s="35">
        <v>3</v>
      </c>
    </row>
    <row r="18" spans="2:34" s="53" customFormat="1" ht="19.5" customHeight="1" x14ac:dyDescent="0.25">
      <c r="B18" s="165" t="s">
        <v>49</v>
      </c>
      <c r="C18" s="165"/>
      <c r="D18" s="165"/>
      <c r="E18" s="165"/>
      <c r="F18" s="85">
        <f t="shared" ref="F18:Z18" si="2">SUM(F13:F17)</f>
        <v>6</v>
      </c>
      <c r="G18" s="85">
        <f t="shared" si="2"/>
        <v>10</v>
      </c>
      <c r="H18" s="85">
        <f t="shared" si="2"/>
        <v>1</v>
      </c>
      <c r="I18" s="85">
        <f t="shared" si="2"/>
        <v>0</v>
      </c>
      <c r="J18" s="85">
        <f t="shared" si="2"/>
        <v>0</v>
      </c>
      <c r="K18" s="85">
        <f t="shared" si="2"/>
        <v>0</v>
      </c>
      <c r="L18" s="85">
        <f t="shared" si="2"/>
        <v>0</v>
      </c>
      <c r="M18" s="85">
        <f t="shared" si="2"/>
        <v>1</v>
      </c>
      <c r="N18" s="85">
        <f t="shared" si="2"/>
        <v>0</v>
      </c>
      <c r="O18" s="85">
        <f t="shared" si="2"/>
        <v>0</v>
      </c>
      <c r="P18" s="85">
        <f t="shared" si="2"/>
        <v>0</v>
      </c>
      <c r="Q18" s="85">
        <f t="shared" si="2"/>
        <v>0</v>
      </c>
      <c r="R18" s="85">
        <f t="shared" si="2"/>
        <v>0</v>
      </c>
      <c r="S18" s="85">
        <f t="shared" si="2"/>
        <v>0</v>
      </c>
      <c r="T18" s="85">
        <f t="shared" si="2"/>
        <v>0</v>
      </c>
      <c r="U18" s="85">
        <f t="shared" si="2"/>
        <v>0</v>
      </c>
      <c r="V18" s="85">
        <f t="shared" si="2"/>
        <v>0</v>
      </c>
      <c r="W18" s="85">
        <f t="shared" si="2"/>
        <v>0</v>
      </c>
      <c r="X18" s="85">
        <f t="shared" si="2"/>
        <v>0</v>
      </c>
      <c r="Y18" s="85">
        <f t="shared" si="2"/>
        <v>1</v>
      </c>
      <c r="Z18" s="85">
        <f t="shared" si="2"/>
        <v>0</v>
      </c>
      <c r="AA18" s="86">
        <f>SUM(F18:Z18)</f>
        <v>19</v>
      </c>
      <c r="AB18" s="87">
        <f>SUM(AB13:AB17)</f>
        <v>78</v>
      </c>
      <c r="AC18" s="87">
        <f t="shared" ref="AC18:AG18" si="3">SUM(AC13:AC17)</f>
        <v>2</v>
      </c>
      <c r="AD18" s="87">
        <f t="shared" si="3"/>
        <v>4</v>
      </c>
      <c r="AE18" s="87">
        <f t="shared" si="3"/>
        <v>4</v>
      </c>
      <c r="AF18" s="87">
        <f t="shared" si="3"/>
        <v>1</v>
      </c>
      <c r="AG18" s="87">
        <f t="shared" si="3"/>
        <v>11</v>
      </c>
    </row>
    <row r="19" spans="2:34" s="2" customFormat="1" ht="43.5" customHeight="1" x14ac:dyDescent="0.25">
      <c r="B19" s="30" t="s">
        <v>50</v>
      </c>
      <c r="C19" s="27" t="s">
        <v>33</v>
      </c>
      <c r="D19" s="27" t="s">
        <v>182</v>
      </c>
      <c r="E19" s="27" t="s">
        <v>52</v>
      </c>
      <c r="F19" s="28">
        <v>0</v>
      </c>
      <c r="G19" s="31">
        <v>1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B19" s="32">
        <v>0</v>
      </c>
      <c r="AC19" s="32">
        <v>0</v>
      </c>
      <c r="AD19" s="32">
        <v>0</v>
      </c>
      <c r="AE19" s="32">
        <v>0</v>
      </c>
      <c r="AF19" s="32">
        <v>0</v>
      </c>
      <c r="AG19" s="32">
        <v>0</v>
      </c>
    </row>
    <row r="20" spans="2:34" s="2" customFormat="1" ht="48" customHeight="1" x14ac:dyDescent="0.25">
      <c r="B20" s="29" t="s">
        <v>50</v>
      </c>
      <c r="C20" s="27" t="s">
        <v>195</v>
      </c>
      <c r="D20" s="27" t="s">
        <v>182</v>
      </c>
      <c r="E20" s="27" t="s">
        <v>52</v>
      </c>
      <c r="F20" s="28">
        <v>0</v>
      </c>
      <c r="G20" s="31">
        <v>4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31">
        <v>1</v>
      </c>
      <c r="R20" s="28">
        <v>0</v>
      </c>
      <c r="S20" s="28">
        <v>0</v>
      </c>
      <c r="T20" s="28">
        <v>0</v>
      </c>
      <c r="U20" s="28">
        <v>0</v>
      </c>
      <c r="V20" s="31">
        <v>1</v>
      </c>
      <c r="W20" s="28">
        <v>0</v>
      </c>
      <c r="X20" s="28">
        <v>0</v>
      </c>
      <c r="Y20" s="28">
        <v>0</v>
      </c>
      <c r="Z20" s="28">
        <v>0</v>
      </c>
      <c r="AB20" s="35">
        <v>18</v>
      </c>
      <c r="AC20" s="32">
        <v>0</v>
      </c>
      <c r="AD20" s="35">
        <v>2</v>
      </c>
      <c r="AE20" s="35">
        <v>2</v>
      </c>
      <c r="AF20" s="35">
        <v>1</v>
      </c>
      <c r="AG20" s="32">
        <v>0</v>
      </c>
    </row>
    <row r="21" spans="2:34" s="2" customFormat="1" ht="48" customHeight="1" x14ac:dyDescent="0.25">
      <c r="B21" s="29" t="s">
        <v>50</v>
      </c>
      <c r="C21" s="27" t="s">
        <v>195</v>
      </c>
      <c r="D21" s="27" t="s">
        <v>183</v>
      </c>
      <c r="E21" s="27" t="s">
        <v>121</v>
      </c>
      <c r="F21" s="28">
        <v>0</v>
      </c>
      <c r="G21" s="31">
        <v>1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B21" s="35">
        <v>8</v>
      </c>
      <c r="AC21" s="32">
        <v>0</v>
      </c>
      <c r="AD21" s="35">
        <v>1</v>
      </c>
      <c r="AE21" s="35">
        <v>1</v>
      </c>
      <c r="AF21" s="35">
        <v>1</v>
      </c>
      <c r="AG21" s="35">
        <v>1</v>
      </c>
    </row>
    <row r="22" spans="2:34" s="2" customFormat="1" ht="48" customHeight="1" x14ac:dyDescent="0.25">
      <c r="B22" s="29" t="s">
        <v>50</v>
      </c>
      <c r="C22" s="27" t="s">
        <v>195</v>
      </c>
      <c r="D22" s="27" t="s">
        <v>153</v>
      </c>
      <c r="E22" s="27" t="s">
        <v>123</v>
      </c>
      <c r="F22" s="28">
        <v>0</v>
      </c>
      <c r="G22" s="31">
        <v>1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B22" s="35">
        <v>8</v>
      </c>
      <c r="AC22" s="32">
        <v>0</v>
      </c>
      <c r="AD22" s="35">
        <v>1</v>
      </c>
      <c r="AE22" s="35">
        <v>1</v>
      </c>
      <c r="AF22" s="35">
        <v>1</v>
      </c>
      <c r="AG22" s="35">
        <v>1</v>
      </c>
    </row>
    <row r="23" spans="2:34" s="2" customFormat="1" ht="43.5" customHeight="1" x14ac:dyDescent="0.25">
      <c r="B23" s="30" t="s">
        <v>50</v>
      </c>
      <c r="C23" s="27" t="s">
        <v>51</v>
      </c>
      <c r="D23" s="27" t="s">
        <v>53</v>
      </c>
      <c r="E23" s="27" t="s">
        <v>52</v>
      </c>
      <c r="F23" s="28">
        <v>0</v>
      </c>
      <c r="G23" s="31">
        <v>3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/>
      <c r="N23" s="28">
        <v>0</v>
      </c>
      <c r="O23" s="28">
        <v>0</v>
      </c>
      <c r="P23" s="28">
        <v>0</v>
      </c>
      <c r="Q23" s="31">
        <v>1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B23" s="35">
        <v>22</v>
      </c>
      <c r="AC23" s="32">
        <v>0</v>
      </c>
      <c r="AD23" s="35">
        <v>2</v>
      </c>
      <c r="AE23" s="35">
        <v>2</v>
      </c>
      <c r="AF23" s="35">
        <v>1</v>
      </c>
      <c r="AG23" s="32">
        <v>0</v>
      </c>
    </row>
    <row r="24" spans="2:34" s="2" customFormat="1" ht="48" customHeight="1" x14ac:dyDescent="0.25">
      <c r="B24" s="29" t="s">
        <v>50</v>
      </c>
      <c r="C24" s="27" t="s">
        <v>54</v>
      </c>
      <c r="D24" s="27" t="s">
        <v>154</v>
      </c>
      <c r="E24" s="27" t="s">
        <v>121</v>
      </c>
      <c r="F24" s="28">
        <v>0</v>
      </c>
      <c r="G24" s="31">
        <v>3</v>
      </c>
      <c r="H24" s="28">
        <v>0</v>
      </c>
      <c r="I24" s="28">
        <v>0</v>
      </c>
      <c r="J24" s="28">
        <v>0</v>
      </c>
      <c r="K24" s="28">
        <v>0</v>
      </c>
      <c r="L24" s="31">
        <v>1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B24" s="35">
        <v>12</v>
      </c>
      <c r="AC24" s="32">
        <v>0</v>
      </c>
      <c r="AD24" s="35">
        <v>1</v>
      </c>
      <c r="AE24" s="35">
        <v>1</v>
      </c>
      <c r="AF24" s="32">
        <v>0</v>
      </c>
      <c r="AG24" s="32">
        <v>0</v>
      </c>
    </row>
    <row r="25" spans="2:34" s="2" customFormat="1" ht="48" customHeight="1" x14ac:dyDescent="0.25">
      <c r="B25" s="29" t="s">
        <v>50</v>
      </c>
      <c r="C25" s="27" t="s">
        <v>54</v>
      </c>
      <c r="D25" s="27" t="s">
        <v>147</v>
      </c>
      <c r="E25" s="27" t="s">
        <v>121</v>
      </c>
      <c r="F25" s="28">
        <v>0</v>
      </c>
      <c r="G25" s="31">
        <v>2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31">
        <v>1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B25" s="32">
        <v>0</v>
      </c>
      <c r="AC25" s="32">
        <v>0</v>
      </c>
      <c r="AD25" s="32">
        <v>0</v>
      </c>
      <c r="AE25" s="32">
        <v>0</v>
      </c>
      <c r="AF25" s="32">
        <v>0</v>
      </c>
      <c r="AG25" s="32">
        <v>0</v>
      </c>
    </row>
    <row r="26" spans="2:34" s="2" customFormat="1" ht="48" customHeight="1" x14ac:dyDescent="0.25">
      <c r="B26" s="29" t="s">
        <v>50</v>
      </c>
      <c r="C26" s="27" t="s">
        <v>54</v>
      </c>
      <c r="D26" s="27" t="s">
        <v>148</v>
      </c>
      <c r="E26" s="27" t="s">
        <v>124</v>
      </c>
      <c r="F26" s="28">
        <v>0</v>
      </c>
      <c r="G26" s="31">
        <v>1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B26" s="35">
        <v>6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</row>
    <row r="27" spans="2:34" s="2" customFormat="1" ht="49.5" customHeight="1" x14ac:dyDescent="0.25">
      <c r="B27" s="30" t="s">
        <v>50</v>
      </c>
      <c r="C27" s="27" t="s">
        <v>55</v>
      </c>
      <c r="D27" s="27" t="s">
        <v>184</v>
      </c>
      <c r="E27" s="27" t="s">
        <v>56</v>
      </c>
      <c r="F27" s="28">
        <v>0</v>
      </c>
      <c r="G27" s="31">
        <v>2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B27" s="35">
        <v>14</v>
      </c>
      <c r="AC27" s="32">
        <v>0</v>
      </c>
      <c r="AD27" s="35">
        <v>1</v>
      </c>
      <c r="AE27" s="35">
        <v>1</v>
      </c>
      <c r="AF27" s="32">
        <v>0</v>
      </c>
      <c r="AG27" s="35">
        <v>1</v>
      </c>
    </row>
    <row r="28" spans="2:34" s="2" customFormat="1" ht="49.5" customHeight="1" x14ac:dyDescent="0.25">
      <c r="B28" s="30" t="s">
        <v>50</v>
      </c>
      <c r="C28" s="27" t="s">
        <v>55</v>
      </c>
      <c r="D28" s="27" t="s">
        <v>185</v>
      </c>
      <c r="E28" s="27" t="s">
        <v>56</v>
      </c>
      <c r="F28" s="28">
        <v>0</v>
      </c>
      <c r="G28" s="31">
        <v>2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B28" s="35">
        <v>6</v>
      </c>
      <c r="AC28" s="35">
        <v>2</v>
      </c>
      <c r="AD28" s="35">
        <v>1</v>
      </c>
      <c r="AE28" s="35">
        <v>1</v>
      </c>
      <c r="AF28" s="32">
        <v>0</v>
      </c>
      <c r="AG28" s="35">
        <v>1</v>
      </c>
    </row>
    <row r="29" spans="2:34" s="2" customFormat="1" ht="49.5" customHeight="1" x14ac:dyDescent="0.25">
      <c r="B29" s="30" t="s">
        <v>50</v>
      </c>
      <c r="C29" s="27" t="s">
        <v>55</v>
      </c>
      <c r="D29" s="27" t="s">
        <v>186</v>
      </c>
      <c r="E29" s="27" t="s">
        <v>56</v>
      </c>
      <c r="F29" s="28">
        <v>0</v>
      </c>
      <c r="G29" s="31">
        <v>1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B29" s="35">
        <v>6</v>
      </c>
      <c r="AC29" s="35">
        <v>2</v>
      </c>
      <c r="AD29" s="35">
        <v>1</v>
      </c>
      <c r="AE29" s="35">
        <v>1</v>
      </c>
      <c r="AF29" s="32">
        <v>0</v>
      </c>
      <c r="AG29" s="35">
        <v>1</v>
      </c>
    </row>
    <row r="30" spans="2:34" s="2" customFormat="1" ht="49.5" customHeight="1" x14ac:dyDescent="0.25">
      <c r="B30" s="30" t="s">
        <v>50</v>
      </c>
      <c r="C30" s="27" t="s">
        <v>55</v>
      </c>
      <c r="D30" s="27" t="s">
        <v>171</v>
      </c>
      <c r="E30" s="27" t="s">
        <v>56</v>
      </c>
      <c r="F30" s="28">
        <v>0</v>
      </c>
      <c r="G30" s="31">
        <v>1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99">
        <f>+AA32*1</f>
        <v>374678467.33511996</v>
      </c>
      <c r="AB30" s="35">
        <v>4</v>
      </c>
      <c r="AC30" s="35">
        <v>2</v>
      </c>
      <c r="AD30" s="32">
        <v>0</v>
      </c>
      <c r="AE30" s="32">
        <v>0</v>
      </c>
      <c r="AF30" s="32">
        <v>0</v>
      </c>
      <c r="AG30" s="32">
        <v>0</v>
      </c>
      <c r="AH30" s="32"/>
    </row>
    <row r="31" spans="2:34" s="2" customFormat="1" ht="49.5" customHeight="1" x14ac:dyDescent="0.25">
      <c r="B31" s="30" t="s">
        <v>50</v>
      </c>
      <c r="C31" s="27" t="s">
        <v>57</v>
      </c>
      <c r="D31" s="27" t="s">
        <v>187</v>
      </c>
      <c r="E31" s="27" t="s">
        <v>125</v>
      </c>
      <c r="F31" s="28">
        <v>0</v>
      </c>
      <c r="G31" s="31">
        <v>1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B31" s="35">
        <v>6</v>
      </c>
      <c r="AC31" s="32">
        <v>0</v>
      </c>
      <c r="AD31" s="35">
        <v>1</v>
      </c>
      <c r="AE31" s="35">
        <v>1</v>
      </c>
      <c r="AF31" s="32">
        <v>0</v>
      </c>
      <c r="AG31" s="35">
        <v>1</v>
      </c>
    </row>
    <row r="32" spans="2:34" s="2" customFormat="1" ht="49.5" customHeight="1" x14ac:dyDescent="0.25">
      <c r="B32" s="30" t="s">
        <v>50</v>
      </c>
      <c r="C32" s="27" t="s">
        <v>57</v>
      </c>
      <c r="D32" s="27" t="s">
        <v>149</v>
      </c>
      <c r="E32" s="27" t="s">
        <v>126</v>
      </c>
      <c r="F32" s="28">
        <v>0</v>
      </c>
      <c r="G32" s="31">
        <v>1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99">
        <f>+(G33*G97)+(L33*L97)+(O33*O97)+(Q33*Q97)+(V33*V97)</f>
        <v>374678467.33511996</v>
      </c>
      <c r="AB32" s="35">
        <v>6</v>
      </c>
      <c r="AC32" s="32">
        <v>0</v>
      </c>
      <c r="AD32" s="35">
        <v>1</v>
      </c>
      <c r="AE32" s="35">
        <v>1</v>
      </c>
      <c r="AF32" s="32">
        <v>0</v>
      </c>
      <c r="AG32" s="35">
        <v>1</v>
      </c>
    </row>
    <row r="33" spans="2:33" s="53" customFormat="1" ht="19.5" customHeight="1" x14ac:dyDescent="0.25">
      <c r="B33" s="165" t="s">
        <v>58</v>
      </c>
      <c r="C33" s="165"/>
      <c r="D33" s="165"/>
      <c r="E33" s="165"/>
      <c r="F33" s="85">
        <f t="shared" ref="F33:Z33" si="4">SUM(F19:F32)</f>
        <v>0</v>
      </c>
      <c r="G33" s="85">
        <f t="shared" si="4"/>
        <v>24</v>
      </c>
      <c r="H33" s="85">
        <f t="shared" si="4"/>
        <v>0</v>
      </c>
      <c r="I33" s="85">
        <f t="shared" si="4"/>
        <v>0</v>
      </c>
      <c r="J33" s="85">
        <f t="shared" si="4"/>
        <v>0</v>
      </c>
      <c r="K33" s="85">
        <f t="shared" si="4"/>
        <v>0</v>
      </c>
      <c r="L33" s="85">
        <f t="shared" si="4"/>
        <v>1</v>
      </c>
      <c r="M33" s="85">
        <f t="shared" si="4"/>
        <v>0</v>
      </c>
      <c r="N33" s="85">
        <f t="shared" si="4"/>
        <v>0</v>
      </c>
      <c r="O33" s="85">
        <f t="shared" si="4"/>
        <v>1</v>
      </c>
      <c r="P33" s="85">
        <f t="shared" si="4"/>
        <v>0</v>
      </c>
      <c r="Q33" s="85">
        <f t="shared" si="4"/>
        <v>2</v>
      </c>
      <c r="R33" s="85">
        <f t="shared" si="4"/>
        <v>0</v>
      </c>
      <c r="S33" s="85">
        <f t="shared" si="4"/>
        <v>0</v>
      </c>
      <c r="T33" s="85">
        <f t="shared" si="4"/>
        <v>0</v>
      </c>
      <c r="U33" s="85">
        <f t="shared" si="4"/>
        <v>0</v>
      </c>
      <c r="V33" s="85">
        <f t="shared" si="4"/>
        <v>1</v>
      </c>
      <c r="W33" s="85">
        <f t="shared" si="4"/>
        <v>0</v>
      </c>
      <c r="X33" s="85">
        <f t="shared" si="4"/>
        <v>0</v>
      </c>
      <c r="Y33" s="85">
        <f t="shared" si="4"/>
        <v>0</v>
      </c>
      <c r="Z33" s="85">
        <f t="shared" si="4"/>
        <v>0</v>
      </c>
      <c r="AA33" s="86">
        <f>SUM(F33:Z33)</f>
        <v>29</v>
      </c>
      <c r="AB33" s="87">
        <f t="shared" ref="AB33:AG33" si="5">SUM(AB19:AB32)</f>
        <v>116</v>
      </c>
      <c r="AC33" s="87">
        <f t="shared" si="5"/>
        <v>6</v>
      </c>
      <c r="AD33" s="87">
        <f t="shared" si="5"/>
        <v>12</v>
      </c>
      <c r="AE33" s="87">
        <f t="shared" si="5"/>
        <v>12</v>
      </c>
      <c r="AF33" s="87">
        <f t="shared" si="5"/>
        <v>4</v>
      </c>
      <c r="AG33" s="87">
        <f t="shared" si="5"/>
        <v>7</v>
      </c>
    </row>
    <row r="34" spans="2:33" s="2" customFormat="1" ht="48" customHeight="1" x14ac:dyDescent="0.25">
      <c r="B34" s="29" t="s">
        <v>59</v>
      </c>
      <c r="C34" s="27" t="s">
        <v>43</v>
      </c>
      <c r="D34" s="27" t="s">
        <v>60</v>
      </c>
      <c r="E34" s="27" t="s">
        <v>61</v>
      </c>
      <c r="F34" s="28">
        <v>0</v>
      </c>
      <c r="G34" s="31">
        <v>0</v>
      </c>
      <c r="H34" s="31">
        <v>1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B34" s="32">
        <v>0</v>
      </c>
      <c r="AC34" s="32">
        <v>0</v>
      </c>
      <c r="AD34" s="32">
        <v>0</v>
      </c>
      <c r="AE34" s="32">
        <v>0</v>
      </c>
      <c r="AF34" s="32">
        <v>0</v>
      </c>
      <c r="AG34" s="32">
        <v>0</v>
      </c>
    </row>
    <row r="35" spans="2:33" s="2" customFormat="1" ht="48" customHeight="1" x14ac:dyDescent="0.25">
      <c r="B35" s="29" t="s">
        <v>59</v>
      </c>
      <c r="C35" s="27" t="s">
        <v>43</v>
      </c>
      <c r="D35" s="27" t="s">
        <v>62</v>
      </c>
      <c r="E35" s="27" t="s">
        <v>61</v>
      </c>
      <c r="F35" s="28">
        <v>0</v>
      </c>
      <c r="G35" s="31">
        <v>1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31">
        <v>1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31">
        <v>1</v>
      </c>
      <c r="Z35" s="28">
        <v>0</v>
      </c>
      <c r="AB35" s="32">
        <v>0</v>
      </c>
      <c r="AC35" s="32">
        <v>0</v>
      </c>
      <c r="AD35" s="32">
        <v>0</v>
      </c>
      <c r="AE35" s="32">
        <v>0</v>
      </c>
      <c r="AF35" s="32">
        <v>0</v>
      </c>
      <c r="AG35" s="32">
        <v>0</v>
      </c>
    </row>
    <row r="36" spans="2:33" s="2" customFormat="1" ht="48" customHeight="1" x14ac:dyDescent="0.25">
      <c r="B36" s="29" t="s">
        <v>59</v>
      </c>
      <c r="C36" s="27" t="s">
        <v>43</v>
      </c>
      <c r="D36" s="27" t="s">
        <v>63</v>
      </c>
      <c r="E36" s="27" t="s">
        <v>61</v>
      </c>
      <c r="F36" s="28">
        <v>0</v>
      </c>
      <c r="G36" s="31">
        <v>2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B36" s="35">
        <v>25</v>
      </c>
      <c r="AC36" s="35">
        <v>2</v>
      </c>
      <c r="AD36" s="35">
        <v>3</v>
      </c>
      <c r="AE36" s="35">
        <v>1</v>
      </c>
      <c r="AF36" s="32">
        <v>0</v>
      </c>
      <c r="AG36" s="32">
        <v>0</v>
      </c>
    </row>
    <row r="37" spans="2:33" s="2" customFormat="1" ht="48" customHeight="1" x14ac:dyDescent="0.25">
      <c r="B37" s="29" t="s">
        <v>59</v>
      </c>
      <c r="C37" s="27" t="s">
        <v>43</v>
      </c>
      <c r="D37" s="27" t="s">
        <v>64</v>
      </c>
      <c r="E37" s="27" t="s">
        <v>61</v>
      </c>
      <c r="F37" s="28">
        <v>0</v>
      </c>
      <c r="G37" s="31">
        <v>1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B37" s="35">
        <v>10</v>
      </c>
      <c r="AC37" s="35">
        <v>2</v>
      </c>
      <c r="AD37" s="32">
        <v>0</v>
      </c>
      <c r="AE37" s="32">
        <v>0</v>
      </c>
      <c r="AF37" s="32">
        <v>0</v>
      </c>
      <c r="AG37" s="32">
        <v>0</v>
      </c>
    </row>
    <row r="38" spans="2:33" s="2" customFormat="1" ht="48" customHeight="1" x14ac:dyDescent="0.25">
      <c r="B38" s="29" t="s">
        <v>59</v>
      </c>
      <c r="C38" s="27" t="s">
        <v>43</v>
      </c>
      <c r="D38" s="27" t="s">
        <v>65</v>
      </c>
      <c r="E38" s="27" t="s">
        <v>61</v>
      </c>
      <c r="F38" s="28"/>
      <c r="G38" s="31">
        <v>1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B38" s="32">
        <v>0</v>
      </c>
      <c r="AC38" s="32">
        <v>0</v>
      </c>
      <c r="AD38" s="32">
        <v>0</v>
      </c>
      <c r="AE38" s="32">
        <v>0</v>
      </c>
      <c r="AF38" s="32">
        <v>0</v>
      </c>
      <c r="AG38" s="32">
        <v>0</v>
      </c>
    </row>
    <row r="39" spans="2:33" s="2" customFormat="1" ht="49.5" customHeight="1" x14ac:dyDescent="0.25">
      <c r="B39" s="29" t="s">
        <v>59</v>
      </c>
      <c r="C39" s="27" t="s">
        <v>66</v>
      </c>
      <c r="D39" s="27" t="s">
        <v>67</v>
      </c>
      <c r="E39" s="27" t="s">
        <v>61</v>
      </c>
      <c r="F39" s="28">
        <v>0</v>
      </c>
      <c r="G39" s="31">
        <v>3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31">
        <v>1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B39" s="35">
        <v>13</v>
      </c>
      <c r="AC39" s="35">
        <v>1</v>
      </c>
      <c r="AD39" s="32">
        <v>0</v>
      </c>
      <c r="AE39" s="32">
        <v>0</v>
      </c>
      <c r="AF39" s="32">
        <v>0</v>
      </c>
      <c r="AG39" s="35">
        <v>2</v>
      </c>
    </row>
    <row r="40" spans="2:33" s="2" customFormat="1" ht="49.5" customHeight="1" x14ac:dyDescent="0.25">
      <c r="B40" s="29" t="s">
        <v>59</v>
      </c>
      <c r="C40" s="27" t="s">
        <v>66</v>
      </c>
      <c r="D40" s="27" t="s">
        <v>68</v>
      </c>
      <c r="E40" s="27" t="s">
        <v>61</v>
      </c>
      <c r="F40" s="28">
        <v>0</v>
      </c>
      <c r="G40" s="31">
        <v>1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31">
        <v>1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B40" s="35">
        <v>11</v>
      </c>
      <c r="AC40" s="32">
        <v>0</v>
      </c>
      <c r="AD40" s="32">
        <v>0</v>
      </c>
      <c r="AE40" s="32">
        <v>0</v>
      </c>
      <c r="AF40" s="32">
        <v>0</v>
      </c>
      <c r="AG40" s="35">
        <v>3</v>
      </c>
    </row>
    <row r="41" spans="2:33" s="2" customFormat="1" ht="49.5" customHeight="1" x14ac:dyDescent="0.25">
      <c r="B41" s="29" t="s">
        <v>59</v>
      </c>
      <c r="C41" s="27" t="s">
        <v>66</v>
      </c>
      <c r="D41" s="27" t="s">
        <v>69</v>
      </c>
      <c r="E41" s="27" t="s">
        <v>61</v>
      </c>
      <c r="F41" s="28">
        <v>0</v>
      </c>
      <c r="G41" s="31">
        <v>2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B41" s="35">
        <v>9</v>
      </c>
      <c r="AC41" s="35">
        <v>1</v>
      </c>
      <c r="AD41" s="35">
        <v>1</v>
      </c>
      <c r="AE41" s="35">
        <v>1</v>
      </c>
      <c r="AF41" s="32">
        <v>0</v>
      </c>
      <c r="AG41" s="35">
        <v>4</v>
      </c>
    </row>
    <row r="42" spans="2:33" s="2" customFormat="1" ht="49.5" customHeight="1" x14ac:dyDescent="0.25">
      <c r="B42" s="29" t="s">
        <v>59</v>
      </c>
      <c r="C42" s="27" t="s">
        <v>66</v>
      </c>
      <c r="D42" s="27" t="s">
        <v>188</v>
      </c>
      <c r="E42" s="27" t="s">
        <v>61</v>
      </c>
      <c r="F42" s="28">
        <v>0</v>
      </c>
      <c r="G42" s="31">
        <v>3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B42" s="35">
        <v>11</v>
      </c>
      <c r="AC42" s="35">
        <v>1</v>
      </c>
      <c r="AD42" s="35">
        <v>1</v>
      </c>
      <c r="AE42" s="35">
        <v>1</v>
      </c>
      <c r="AF42" s="32">
        <v>0</v>
      </c>
      <c r="AG42" s="35">
        <v>3</v>
      </c>
    </row>
    <row r="43" spans="2:33" s="2" customFormat="1" ht="49.5" customHeight="1" x14ac:dyDescent="0.25">
      <c r="B43" s="29" t="s">
        <v>59</v>
      </c>
      <c r="C43" s="27" t="s">
        <v>66</v>
      </c>
      <c r="D43" s="27" t="s">
        <v>189</v>
      </c>
      <c r="E43" s="27" t="s">
        <v>70</v>
      </c>
      <c r="F43" s="28">
        <v>0</v>
      </c>
      <c r="G43" s="31">
        <v>2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B43" s="35">
        <v>13</v>
      </c>
      <c r="AC43" s="35">
        <v>1</v>
      </c>
      <c r="AD43" s="35">
        <v>1</v>
      </c>
      <c r="AE43" s="35">
        <v>1</v>
      </c>
      <c r="AF43" s="32">
        <v>0</v>
      </c>
      <c r="AG43" s="35">
        <v>2</v>
      </c>
    </row>
    <row r="44" spans="2:33" s="2" customFormat="1" ht="49.5" customHeight="1" x14ac:dyDescent="0.25">
      <c r="B44" s="29" t="s">
        <v>59</v>
      </c>
      <c r="C44" s="27" t="s">
        <v>66</v>
      </c>
      <c r="D44" s="27" t="s">
        <v>190</v>
      </c>
      <c r="E44" s="27" t="s">
        <v>71</v>
      </c>
      <c r="F44" s="28">
        <v>0</v>
      </c>
      <c r="G44" s="31">
        <v>1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B44" s="35">
        <v>8</v>
      </c>
      <c r="AC44" s="35">
        <v>1</v>
      </c>
      <c r="AD44" s="35">
        <v>1</v>
      </c>
      <c r="AE44" s="35">
        <v>1</v>
      </c>
      <c r="AF44" s="32">
        <v>0</v>
      </c>
      <c r="AG44" s="35">
        <v>1</v>
      </c>
    </row>
    <row r="45" spans="2:33" s="2" customFormat="1" ht="49.5" customHeight="1" x14ac:dyDescent="0.25">
      <c r="B45" s="29" t="s">
        <v>59</v>
      </c>
      <c r="C45" s="27" t="s">
        <v>66</v>
      </c>
      <c r="D45" s="27" t="s">
        <v>72</v>
      </c>
      <c r="E45" s="27" t="s">
        <v>73</v>
      </c>
      <c r="F45" s="28">
        <v>0</v>
      </c>
      <c r="G45" s="31">
        <v>1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</row>
    <row r="46" spans="2:33" s="2" customFormat="1" ht="43.5" customHeight="1" x14ac:dyDescent="0.25">
      <c r="B46" s="29" t="s">
        <v>59</v>
      </c>
      <c r="C46" s="27" t="s">
        <v>155</v>
      </c>
      <c r="D46" s="27" t="s">
        <v>191</v>
      </c>
      <c r="E46" s="27" t="s">
        <v>71</v>
      </c>
      <c r="F46" s="28">
        <v>0</v>
      </c>
      <c r="G46" s="31">
        <v>2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99">
        <f>+AA48*1</f>
        <v>418351773.61714047</v>
      </c>
      <c r="AB46" s="35">
        <v>8</v>
      </c>
      <c r="AC46" s="35">
        <v>1</v>
      </c>
      <c r="AD46" s="35">
        <v>1</v>
      </c>
      <c r="AE46" s="35">
        <v>1</v>
      </c>
      <c r="AF46" s="32">
        <v>0</v>
      </c>
      <c r="AG46" s="35">
        <v>3</v>
      </c>
    </row>
    <row r="47" spans="2:33" s="2" customFormat="1" ht="43.5" customHeight="1" x14ac:dyDescent="0.25">
      <c r="B47" s="29" t="s">
        <v>59</v>
      </c>
      <c r="C47" s="27" t="s">
        <v>155</v>
      </c>
      <c r="D47" s="27" t="s">
        <v>172</v>
      </c>
      <c r="E47" s="27" t="s">
        <v>61</v>
      </c>
      <c r="F47" s="28">
        <v>0</v>
      </c>
      <c r="G47" s="31">
        <v>3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32">
        <v>0</v>
      </c>
    </row>
    <row r="48" spans="2:33" s="2" customFormat="1" ht="43.5" customHeight="1" x14ac:dyDescent="0.25">
      <c r="B48" s="29" t="s">
        <v>59</v>
      </c>
      <c r="C48" s="27" t="s">
        <v>155</v>
      </c>
      <c r="D48" s="27" t="s">
        <v>173</v>
      </c>
      <c r="E48" s="27" t="s">
        <v>127</v>
      </c>
      <c r="F48" s="28">
        <v>0</v>
      </c>
      <c r="G48" s="31">
        <v>4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99">
        <f>+(G49*G97)+(H49*H97)+(P49*P97)+(Q49*Q97)+(Y49*Y97)</f>
        <v>418351773.61714047</v>
      </c>
      <c r="AB48" s="32">
        <v>0</v>
      </c>
      <c r="AC48" s="32">
        <v>0</v>
      </c>
      <c r="AD48" s="32">
        <v>0</v>
      </c>
      <c r="AE48" s="32">
        <v>0</v>
      </c>
      <c r="AF48" s="32">
        <v>0</v>
      </c>
      <c r="AG48" s="32">
        <v>0</v>
      </c>
    </row>
    <row r="49" spans="2:33" s="53" customFormat="1" ht="19.5" customHeight="1" x14ac:dyDescent="0.25">
      <c r="B49" s="165" t="s">
        <v>74</v>
      </c>
      <c r="C49" s="165"/>
      <c r="D49" s="165"/>
      <c r="E49" s="165"/>
      <c r="F49" s="85">
        <f t="shared" ref="F49:Z49" si="6">SUM(F34:F48)</f>
        <v>0</v>
      </c>
      <c r="G49" s="85">
        <f t="shared" si="6"/>
        <v>27</v>
      </c>
      <c r="H49" s="85">
        <f t="shared" si="6"/>
        <v>1</v>
      </c>
      <c r="I49" s="85">
        <f t="shared" si="6"/>
        <v>0</v>
      </c>
      <c r="J49" s="85">
        <f t="shared" si="6"/>
        <v>0</v>
      </c>
      <c r="K49" s="85">
        <f t="shared" si="6"/>
        <v>0</v>
      </c>
      <c r="L49" s="85">
        <f t="shared" si="6"/>
        <v>0</v>
      </c>
      <c r="M49" s="85">
        <f t="shared" si="6"/>
        <v>0</v>
      </c>
      <c r="N49" s="85">
        <f t="shared" si="6"/>
        <v>0</v>
      </c>
      <c r="O49" s="85">
        <f t="shared" si="6"/>
        <v>0</v>
      </c>
      <c r="P49" s="85">
        <f t="shared" si="6"/>
        <v>1</v>
      </c>
      <c r="Q49" s="85">
        <f t="shared" si="6"/>
        <v>2</v>
      </c>
      <c r="R49" s="85">
        <f t="shared" si="6"/>
        <v>0</v>
      </c>
      <c r="S49" s="85">
        <f t="shared" si="6"/>
        <v>0</v>
      </c>
      <c r="T49" s="85">
        <f t="shared" si="6"/>
        <v>0</v>
      </c>
      <c r="U49" s="85">
        <f t="shared" si="6"/>
        <v>0</v>
      </c>
      <c r="V49" s="85">
        <f t="shared" si="6"/>
        <v>0</v>
      </c>
      <c r="W49" s="85">
        <f t="shared" si="6"/>
        <v>0</v>
      </c>
      <c r="X49" s="85">
        <f t="shared" si="6"/>
        <v>0</v>
      </c>
      <c r="Y49" s="85">
        <f t="shared" si="6"/>
        <v>1</v>
      </c>
      <c r="Z49" s="85">
        <f t="shared" si="6"/>
        <v>0</v>
      </c>
      <c r="AA49" s="86">
        <f>SUM(F49:Z49)</f>
        <v>32</v>
      </c>
      <c r="AB49" s="87">
        <f>SUM(AB34:AB48)</f>
        <v>108</v>
      </c>
      <c r="AC49" s="87">
        <f t="shared" ref="AC49:AG49" si="7">SUM(AC34:AC48)</f>
        <v>10</v>
      </c>
      <c r="AD49" s="87">
        <f t="shared" si="7"/>
        <v>8</v>
      </c>
      <c r="AE49" s="87">
        <f t="shared" si="7"/>
        <v>6</v>
      </c>
      <c r="AF49" s="87">
        <f t="shared" si="7"/>
        <v>0</v>
      </c>
      <c r="AG49" s="87">
        <f t="shared" si="7"/>
        <v>18</v>
      </c>
    </row>
    <row r="50" spans="2:33" s="2" customFormat="1" ht="49.5" customHeight="1" x14ac:dyDescent="0.25">
      <c r="B50" s="29" t="s">
        <v>75</v>
      </c>
      <c r="C50" s="27" t="s">
        <v>198</v>
      </c>
      <c r="D50" s="27" t="s">
        <v>196</v>
      </c>
      <c r="E50" s="27" t="s">
        <v>128</v>
      </c>
      <c r="F50" s="28">
        <v>0</v>
      </c>
      <c r="G50" s="31">
        <v>5</v>
      </c>
      <c r="H50" s="31">
        <v>1</v>
      </c>
      <c r="I50" s="28"/>
      <c r="J50" s="28"/>
      <c r="K50" s="28"/>
      <c r="L50" s="28">
        <v>0</v>
      </c>
      <c r="M50" s="28">
        <v>0</v>
      </c>
      <c r="N50" s="28">
        <v>0</v>
      </c>
      <c r="O50" s="28">
        <v>0</v>
      </c>
      <c r="P50" s="31">
        <v>1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B50" s="35">
        <v>45</v>
      </c>
      <c r="AC50" s="35">
        <v>2</v>
      </c>
      <c r="AD50" s="35">
        <v>2</v>
      </c>
      <c r="AE50" s="35">
        <v>2</v>
      </c>
      <c r="AF50" s="32">
        <v>0</v>
      </c>
      <c r="AG50" s="35">
        <v>1</v>
      </c>
    </row>
    <row r="51" spans="2:33" s="2" customFormat="1" ht="43.5" customHeight="1" x14ac:dyDescent="0.25">
      <c r="B51" s="29" t="s">
        <v>75</v>
      </c>
      <c r="C51" s="27" t="s">
        <v>198</v>
      </c>
      <c r="D51" s="27" t="s">
        <v>76</v>
      </c>
      <c r="E51" s="27" t="s">
        <v>128</v>
      </c>
      <c r="F51" s="28">
        <v>0</v>
      </c>
      <c r="G51" s="31">
        <v>1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31">
        <v>1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B51" s="35">
        <v>6</v>
      </c>
      <c r="AC51" s="35">
        <v>1</v>
      </c>
      <c r="AD51" s="35">
        <v>1</v>
      </c>
      <c r="AE51" s="35">
        <v>1</v>
      </c>
      <c r="AF51" s="32">
        <v>0</v>
      </c>
      <c r="AG51" s="35">
        <v>1</v>
      </c>
    </row>
    <row r="52" spans="2:33" s="2" customFormat="1" ht="43.5" customHeight="1" x14ac:dyDescent="0.25">
      <c r="B52" s="29" t="s">
        <v>75</v>
      </c>
      <c r="C52" s="27" t="s">
        <v>198</v>
      </c>
      <c r="D52" s="27" t="s">
        <v>156</v>
      </c>
      <c r="E52" s="27" t="s">
        <v>128</v>
      </c>
      <c r="F52" s="28">
        <v>0</v>
      </c>
      <c r="G52" s="31">
        <v>3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B52" s="35">
        <f>25</f>
        <v>25</v>
      </c>
      <c r="AC52" s="32">
        <v>0</v>
      </c>
      <c r="AD52" s="35">
        <f>2</f>
        <v>2</v>
      </c>
      <c r="AE52" s="35">
        <v>2</v>
      </c>
      <c r="AF52" s="32">
        <v>0</v>
      </c>
      <c r="AG52" s="35">
        <v>1</v>
      </c>
    </row>
    <row r="53" spans="2:33" s="2" customFormat="1" ht="49.5" customHeight="1" x14ac:dyDescent="0.25">
      <c r="B53" s="29" t="s">
        <v>75</v>
      </c>
      <c r="C53" s="27" t="s">
        <v>169</v>
      </c>
      <c r="D53" s="27" t="s">
        <v>157</v>
      </c>
      <c r="E53" s="27" t="s">
        <v>128</v>
      </c>
      <c r="F53" s="28">
        <v>0</v>
      </c>
      <c r="G53" s="31">
        <v>5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B53" s="35">
        <v>25</v>
      </c>
      <c r="AC53" s="35">
        <v>1</v>
      </c>
      <c r="AD53" s="35">
        <v>1</v>
      </c>
      <c r="AE53" s="35">
        <v>1</v>
      </c>
      <c r="AF53" s="32">
        <v>0</v>
      </c>
      <c r="AG53" s="35">
        <v>1</v>
      </c>
    </row>
    <row r="54" spans="2:33" s="2" customFormat="1" ht="43.5" customHeight="1" x14ac:dyDescent="0.25">
      <c r="B54" s="29" t="s">
        <v>75</v>
      </c>
      <c r="C54" s="27" t="s">
        <v>198</v>
      </c>
      <c r="D54" s="27" t="s">
        <v>170</v>
      </c>
      <c r="E54" s="27" t="s">
        <v>159</v>
      </c>
      <c r="F54" s="28">
        <v>0</v>
      </c>
      <c r="G54" s="31">
        <v>3</v>
      </c>
      <c r="H54" s="31">
        <v>1</v>
      </c>
      <c r="I54" s="28"/>
      <c r="J54" s="28"/>
      <c r="K54" s="28"/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99">
        <f>+AA56*1</f>
        <v>395197106.86704612</v>
      </c>
      <c r="AB54" s="32">
        <v>0</v>
      </c>
      <c r="AC54" s="32">
        <v>0</v>
      </c>
      <c r="AD54" s="32">
        <v>0</v>
      </c>
      <c r="AE54" s="32">
        <v>0</v>
      </c>
      <c r="AF54" s="32">
        <v>0</v>
      </c>
      <c r="AG54" s="32">
        <v>0</v>
      </c>
    </row>
    <row r="55" spans="2:33" s="2" customFormat="1" ht="49.5" customHeight="1" x14ac:dyDescent="0.25">
      <c r="B55" s="29" t="s">
        <v>75</v>
      </c>
      <c r="C55" s="27" t="s">
        <v>169</v>
      </c>
      <c r="D55" s="27" t="s">
        <v>158</v>
      </c>
      <c r="E55" s="27" t="s">
        <v>129</v>
      </c>
      <c r="F55" s="28">
        <v>0</v>
      </c>
      <c r="G55" s="31">
        <v>7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B55" s="35">
        <v>15</v>
      </c>
      <c r="AC55" s="35">
        <v>1</v>
      </c>
      <c r="AD55" s="35">
        <v>1</v>
      </c>
      <c r="AE55" s="35">
        <v>1</v>
      </c>
      <c r="AF55" s="32">
        <v>0</v>
      </c>
      <c r="AG55" s="35">
        <v>1</v>
      </c>
    </row>
    <row r="56" spans="2:33" s="2" customFormat="1" ht="49.5" customHeight="1" x14ac:dyDescent="0.25">
      <c r="B56" s="29" t="s">
        <v>75</v>
      </c>
      <c r="C56" s="27" t="s">
        <v>169</v>
      </c>
      <c r="D56" s="27" t="s">
        <v>174</v>
      </c>
      <c r="E56" s="27" t="s">
        <v>129</v>
      </c>
      <c r="F56" s="28">
        <v>0</v>
      </c>
      <c r="G56" s="31">
        <v>1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99">
        <f>+(G57*G97)+(H57*H97)+(P57*P97)</f>
        <v>395197106.86704612</v>
      </c>
      <c r="AB56" s="35">
        <v>5</v>
      </c>
      <c r="AC56" s="35">
        <v>0</v>
      </c>
      <c r="AD56" s="35">
        <v>1</v>
      </c>
      <c r="AE56" s="35">
        <v>1</v>
      </c>
      <c r="AF56" s="32">
        <v>0</v>
      </c>
      <c r="AG56" s="35">
        <v>1</v>
      </c>
    </row>
    <row r="57" spans="2:33" s="53" customFormat="1" ht="19.5" customHeight="1" x14ac:dyDescent="0.25">
      <c r="B57" s="165" t="s">
        <v>77</v>
      </c>
      <c r="C57" s="165"/>
      <c r="D57" s="165"/>
      <c r="E57" s="165"/>
      <c r="F57" s="85">
        <f>SUM(F50:F56)</f>
        <v>0</v>
      </c>
      <c r="G57" s="85">
        <f>SUM(G50:G56)</f>
        <v>25</v>
      </c>
      <c r="H57" s="85">
        <f t="shared" ref="H57:Z57" si="8">SUM(H50:H56)</f>
        <v>2</v>
      </c>
      <c r="I57" s="85">
        <f t="shared" si="8"/>
        <v>0</v>
      </c>
      <c r="J57" s="85">
        <f t="shared" si="8"/>
        <v>0</v>
      </c>
      <c r="K57" s="85">
        <f t="shared" si="8"/>
        <v>0</v>
      </c>
      <c r="L57" s="85">
        <f t="shared" si="8"/>
        <v>0</v>
      </c>
      <c r="M57" s="85">
        <f t="shared" si="8"/>
        <v>0</v>
      </c>
      <c r="N57" s="85">
        <f t="shared" si="8"/>
        <v>0</v>
      </c>
      <c r="O57" s="85">
        <f t="shared" si="8"/>
        <v>0</v>
      </c>
      <c r="P57" s="85">
        <f t="shared" si="8"/>
        <v>2</v>
      </c>
      <c r="Q57" s="85">
        <f t="shared" si="8"/>
        <v>0</v>
      </c>
      <c r="R57" s="85">
        <f t="shared" si="8"/>
        <v>0</v>
      </c>
      <c r="S57" s="85">
        <f t="shared" si="8"/>
        <v>0</v>
      </c>
      <c r="T57" s="85">
        <f t="shared" si="8"/>
        <v>0</v>
      </c>
      <c r="U57" s="85">
        <f t="shared" si="8"/>
        <v>0</v>
      </c>
      <c r="V57" s="85">
        <f t="shared" si="8"/>
        <v>0</v>
      </c>
      <c r="W57" s="85">
        <f t="shared" si="8"/>
        <v>0</v>
      </c>
      <c r="X57" s="85">
        <f t="shared" si="8"/>
        <v>0</v>
      </c>
      <c r="Y57" s="85">
        <f t="shared" si="8"/>
        <v>0</v>
      </c>
      <c r="Z57" s="85">
        <f t="shared" si="8"/>
        <v>0</v>
      </c>
      <c r="AA57" s="86">
        <f>SUM(F57:Z57)</f>
        <v>29</v>
      </c>
      <c r="AB57" s="88">
        <f>SUM(AB50:AB56)</f>
        <v>121</v>
      </c>
      <c r="AC57" s="88">
        <f t="shared" ref="AC57:AG57" si="9">SUM(AC50:AC56)</f>
        <v>5</v>
      </c>
      <c r="AD57" s="88">
        <f t="shared" si="9"/>
        <v>8</v>
      </c>
      <c r="AE57" s="88">
        <f t="shared" si="9"/>
        <v>8</v>
      </c>
      <c r="AF57" s="88">
        <f t="shared" si="9"/>
        <v>0</v>
      </c>
      <c r="AG57" s="88">
        <f t="shared" si="9"/>
        <v>6</v>
      </c>
    </row>
    <row r="58" spans="2:33" s="2" customFormat="1" ht="49.5" customHeight="1" x14ac:dyDescent="0.25">
      <c r="B58" s="29" t="s">
        <v>78</v>
      </c>
      <c r="C58" s="27" t="s">
        <v>33</v>
      </c>
      <c r="D58" s="27" t="s">
        <v>160</v>
      </c>
      <c r="E58" s="27" t="s">
        <v>119</v>
      </c>
      <c r="F58" s="28">
        <v>0</v>
      </c>
      <c r="G58" s="31">
        <v>5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B58" s="35">
        <v>26</v>
      </c>
      <c r="AC58" s="35">
        <v>3</v>
      </c>
      <c r="AD58" s="35">
        <v>1</v>
      </c>
      <c r="AE58" s="35">
        <v>1</v>
      </c>
      <c r="AF58" s="35">
        <v>1</v>
      </c>
      <c r="AG58" s="35">
        <v>2</v>
      </c>
    </row>
    <row r="59" spans="2:33" s="2" customFormat="1" ht="49.5" customHeight="1" x14ac:dyDescent="0.25">
      <c r="B59" s="29" t="s">
        <v>78</v>
      </c>
      <c r="C59" s="27" t="s">
        <v>43</v>
      </c>
      <c r="D59" s="27" t="s">
        <v>164</v>
      </c>
      <c r="E59" s="27" t="s">
        <v>119</v>
      </c>
      <c r="F59" s="28">
        <v>0</v>
      </c>
      <c r="G59" s="31">
        <v>1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B59" s="32">
        <v>0</v>
      </c>
      <c r="AC59" s="32">
        <v>0</v>
      </c>
      <c r="AD59" s="32">
        <v>0</v>
      </c>
      <c r="AE59" s="32">
        <v>0</v>
      </c>
      <c r="AF59" s="32">
        <v>0</v>
      </c>
      <c r="AG59" s="32">
        <v>0</v>
      </c>
    </row>
    <row r="60" spans="2:33" s="2" customFormat="1" ht="44.25" customHeight="1" x14ac:dyDescent="0.25">
      <c r="B60" s="30" t="s">
        <v>78</v>
      </c>
      <c r="C60" s="27" t="s">
        <v>79</v>
      </c>
      <c r="D60" s="27" t="s">
        <v>161</v>
      </c>
      <c r="E60" s="27" t="s">
        <v>119</v>
      </c>
      <c r="F60" s="28">
        <v>0</v>
      </c>
      <c r="G60" s="36">
        <v>1</v>
      </c>
      <c r="H60" s="31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B60" s="32">
        <v>0</v>
      </c>
      <c r="AC60" s="32">
        <v>0</v>
      </c>
      <c r="AD60" s="32">
        <v>0</v>
      </c>
      <c r="AE60" s="32">
        <v>0</v>
      </c>
      <c r="AF60" s="32">
        <v>0</v>
      </c>
      <c r="AG60" s="32">
        <v>0</v>
      </c>
    </row>
    <row r="61" spans="2:33" s="2" customFormat="1" ht="44.25" customHeight="1" x14ac:dyDescent="0.25">
      <c r="B61" s="30" t="s">
        <v>78</v>
      </c>
      <c r="C61" s="27" t="s">
        <v>79</v>
      </c>
      <c r="D61" s="27" t="s">
        <v>162</v>
      </c>
      <c r="E61" s="27" t="s">
        <v>119</v>
      </c>
      <c r="F61" s="28">
        <v>0</v>
      </c>
      <c r="G61" s="36">
        <v>3</v>
      </c>
      <c r="H61" s="31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B61" s="35">
        <v>16</v>
      </c>
      <c r="AC61" s="32">
        <v>0</v>
      </c>
      <c r="AD61" s="35">
        <v>1</v>
      </c>
      <c r="AE61" s="35">
        <v>1</v>
      </c>
      <c r="AF61" s="35">
        <v>1</v>
      </c>
      <c r="AG61" s="35">
        <v>1</v>
      </c>
    </row>
    <row r="62" spans="2:33" s="2" customFormat="1" ht="44.25" customHeight="1" x14ac:dyDescent="0.25">
      <c r="B62" s="30" t="s">
        <v>78</v>
      </c>
      <c r="C62" s="27" t="s">
        <v>79</v>
      </c>
      <c r="D62" s="27" t="s">
        <v>163</v>
      </c>
      <c r="E62" s="27" t="s">
        <v>119</v>
      </c>
      <c r="F62" s="28">
        <v>0</v>
      </c>
      <c r="G62" s="36">
        <v>1</v>
      </c>
      <c r="H62" s="31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B62" s="32">
        <v>0</v>
      </c>
      <c r="AC62" s="32">
        <v>0</v>
      </c>
      <c r="AD62" s="32">
        <v>0</v>
      </c>
      <c r="AE62" s="32">
        <v>0</v>
      </c>
      <c r="AF62" s="32">
        <v>0</v>
      </c>
      <c r="AG62" s="32">
        <v>0</v>
      </c>
    </row>
    <row r="63" spans="2:33" s="2" customFormat="1" ht="44.25" customHeight="1" x14ac:dyDescent="0.25">
      <c r="B63" s="30" t="s">
        <v>78</v>
      </c>
      <c r="C63" s="27" t="s">
        <v>79</v>
      </c>
      <c r="D63" s="27" t="s">
        <v>80</v>
      </c>
      <c r="E63" s="27" t="s">
        <v>119</v>
      </c>
      <c r="F63" s="28">
        <v>0</v>
      </c>
      <c r="G63" s="36">
        <v>2</v>
      </c>
      <c r="H63" s="31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B63" s="35">
        <v>23</v>
      </c>
      <c r="AC63" s="32">
        <v>0</v>
      </c>
      <c r="AD63" s="35">
        <v>1</v>
      </c>
      <c r="AE63" s="35">
        <v>1</v>
      </c>
      <c r="AF63" s="35">
        <v>1</v>
      </c>
      <c r="AG63" s="35">
        <v>1</v>
      </c>
    </row>
    <row r="64" spans="2:33" s="2" customFormat="1" ht="49.5" customHeight="1" x14ac:dyDescent="0.25">
      <c r="B64" s="29" t="s">
        <v>78</v>
      </c>
      <c r="C64" s="27" t="s">
        <v>81</v>
      </c>
      <c r="D64" s="27" t="s">
        <v>82</v>
      </c>
      <c r="E64" s="27" t="s">
        <v>130</v>
      </c>
      <c r="F64" s="28">
        <v>0</v>
      </c>
      <c r="G64" s="31">
        <v>4</v>
      </c>
      <c r="H64" s="28">
        <v>0</v>
      </c>
      <c r="I64" s="28">
        <v>0</v>
      </c>
      <c r="J64" s="28">
        <v>0</v>
      </c>
      <c r="K64" s="28">
        <v>0</v>
      </c>
      <c r="L64" s="31">
        <v>1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31">
        <v>1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B64" s="35">
        <v>28</v>
      </c>
      <c r="AC64" s="35">
        <v>4</v>
      </c>
      <c r="AD64" s="35">
        <v>2</v>
      </c>
      <c r="AE64" s="35">
        <v>2</v>
      </c>
      <c r="AF64" s="35">
        <v>2</v>
      </c>
      <c r="AG64" s="35">
        <v>5</v>
      </c>
    </row>
    <row r="65" spans="2:33" s="2" customFormat="1" ht="49.5" customHeight="1" x14ac:dyDescent="0.25">
      <c r="B65" s="29" t="s">
        <v>78</v>
      </c>
      <c r="C65" s="27" t="s">
        <v>83</v>
      </c>
      <c r="D65" s="27" t="s">
        <v>141</v>
      </c>
      <c r="E65" s="27" t="s">
        <v>131</v>
      </c>
      <c r="F65" s="31">
        <v>2</v>
      </c>
      <c r="G65" s="31">
        <v>3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B65" s="35">
        <v>19</v>
      </c>
      <c r="AC65" s="35">
        <v>4</v>
      </c>
      <c r="AD65" s="35">
        <v>2</v>
      </c>
      <c r="AE65" s="35">
        <v>2</v>
      </c>
      <c r="AF65" s="35">
        <v>2</v>
      </c>
      <c r="AG65" s="35">
        <v>5</v>
      </c>
    </row>
    <row r="66" spans="2:33" s="2" customFormat="1" ht="44.25" customHeight="1" x14ac:dyDescent="0.25">
      <c r="B66" s="30" t="s">
        <v>78</v>
      </c>
      <c r="C66" s="27" t="s">
        <v>84</v>
      </c>
      <c r="D66" s="27" t="s">
        <v>85</v>
      </c>
      <c r="E66" s="27" t="s">
        <v>132</v>
      </c>
      <c r="F66" s="36">
        <v>1</v>
      </c>
      <c r="G66" s="36">
        <v>5</v>
      </c>
      <c r="H66" s="31">
        <v>1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B66" s="35">
        <v>67</v>
      </c>
      <c r="AC66" s="35">
        <v>2</v>
      </c>
      <c r="AD66" s="35">
        <v>3</v>
      </c>
      <c r="AE66" s="35">
        <v>3</v>
      </c>
      <c r="AF66" s="35">
        <v>1</v>
      </c>
      <c r="AG66" s="35">
        <v>3</v>
      </c>
    </row>
    <row r="67" spans="2:33" s="2" customFormat="1" ht="44.25" customHeight="1" x14ac:dyDescent="0.25">
      <c r="B67" s="30" t="s">
        <v>78</v>
      </c>
      <c r="C67" s="27" t="s">
        <v>84</v>
      </c>
      <c r="D67" s="27" t="s">
        <v>140</v>
      </c>
      <c r="E67" s="27" t="s">
        <v>132</v>
      </c>
      <c r="F67" s="28">
        <v>0</v>
      </c>
      <c r="G67" s="36">
        <v>1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B67" s="35">
        <v>8</v>
      </c>
      <c r="AC67" s="35">
        <v>1</v>
      </c>
      <c r="AD67" s="35">
        <v>1</v>
      </c>
      <c r="AE67" s="35">
        <v>1</v>
      </c>
      <c r="AF67" s="32">
        <v>0</v>
      </c>
      <c r="AG67" s="32">
        <v>0</v>
      </c>
    </row>
    <row r="68" spans="2:33" s="2" customFormat="1" ht="44.25" customHeight="1" x14ac:dyDescent="0.25">
      <c r="B68" s="30" t="s">
        <v>78</v>
      </c>
      <c r="C68" s="27" t="s">
        <v>84</v>
      </c>
      <c r="D68" s="27" t="s">
        <v>86</v>
      </c>
      <c r="E68" s="27" t="s">
        <v>132</v>
      </c>
      <c r="F68" s="28">
        <v>0</v>
      </c>
      <c r="G68" s="36">
        <v>2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B68" s="32">
        <v>0</v>
      </c>
      <c r="AC68" s="32">
        <v>0</v>
      </c>
      <c r="AD68" s="32">
        <v>0</v>
      </c>
      <c r="AE68" s="32">
        <v>0</v>
      </c>
      <c r="AF68" s="32">
        <v>0</v>
      </c>
      <c r="AG68" s="32">
        <v>0</v>
      </c>
    </row>
    <row r="69" spans="2:33" s="2" customFormat="1" ht="49.5" customHeight="1" x14ac:dyDescent="0.25">
      <c r="B69" s="29" t="s">
        <v>78</v>
      </c>
      <c r="C69" s="27" t="s">
        <v>87</v>
      </c>
      <c r="D69" s="27" t="s">
        <v>165</v>
      </c>
      <c r="E69" s="27" t="s">
        <v>132</v>
      </c>
      <c r="F69" s="28">
        <v>0</v>
      </c>
      <c r="G69" s="31">
        <v>2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B69" s="35">
        <v>13</v>
      </c>
      <c r="AC69" s="35">
        <v>3</v>
      </c>
      <c r="AD69" s="35">
        <v>1</v>
      </c>
      <c r="AE69" s="35">
        <v>1</v>
      </c>
      <c r="AF69" s="32">
        <v>0</v>
      </c>
      <c r="AG69" s="32">
        <v>0</v>
      </c>
    </row>
    <row r="70" spans="2:33" s="2" customFormat="1" ht="49.5" customHeight="1" x14ac:dyDescent="0.25">
      <c r="B70" s="29" t="s">
        <v>78</v>
      </c>
      <c r="C70" s="27" t="s">
        <v>87</v>
      </c>
      <c r="D70" s="27" t="s">
        <v>142</v>
      </c>
      <c r="E70" s="27" t="s">
        <v>132</v>
      </c>
      <c r="F70" s="28">
        <v>0</v>
      </c>
      <c r="G70" s="31">
        <v>1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B70" s="32">
        <v>0</v>
      </c>
      <c r="AC70" s="32">
        <v>0</v>
      </c>
      <c r="AD70" s="32">
        <v>0</v>
      </c>
      <c r="AE70" s="32">
        <v>0</v>
      </c>
      <c r="AF70" s="32">
        <v>0</v>
      </c>
      <c r="AG70" s="32">
        <v>0</v>
      </c>
    </row>
    <row r="71" spans="2:33" s="2" customFormat="1" ht="49.5" customHeight="1" x14ac:dyDescent="0.25">
      <c r="B71" s="29" t="s">
        <v>78</v>
      </c>
      <c r="C71" s="27" t="s">
        <v>87</v>
      </c>
      <c r="D71" s="27" t="s">
        <v>88</v>
      </c>
      <c r="E71" s="27" t="s">
        <v>133</v>
      </c>
      <c r="F71" s="28">
        <v>0</v>
      </c>
      <c r="G71" s="31">
        <v>3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31">
        <v>1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B71" s="35">
        <v>28</v>
      </c>
      <c r="AC71" s="35">
        <v>4</v>
      </c>
      <c r="AD71" s="32">
        <v>0</v>
      </c>
      <c r="AE71" s="32">
        <v>0</v>
      </c>
      <c r="AF71" s="35">
        <v>1</v>
      </c>
      <c r="AG71" s="35">
        <v>1</v>
      </c>
    </row>
    <row r="72" spans="2:33" s="2" customFormat="1" ht="49.5" customHeight="1" x14ac:dyDescent="0.25">
      <c r="B72" s="29" t="s">
        <v>78</v>
      </c>
      <c r="C72" s="27" t="s">
        <v>87</v>
      </c>
      <c r="D72" s="27" t="s">
        <v>192</v>
      </c>
      <c r="E72" s="27" t="s">
        <v>119</v>
      </c>
      <c r="F72" s="28">
        <v>0</v>
      </c>
      <c r="G72" s="31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31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B72" s="32">
        <v>0</v>
      </c>
      <c r="AC72" s="32">
        <v>0</v>
      </c>
      <c r="AD72" s="32">
        <v>0</v>
      </c>
      <c r="AE72" s="32">
        <v>0</v>
      </c>
      <c r="AF72" s="32">
        <v>0</v>
      </c>
      <c r="AG72" s="32">
        <v>0</v>
      </c>
    </row>
    <row r="73" spans="2:33" s="2" customFormat="1" ht="37.5" customHeight="1" x14ac:dyDescent="0.25">
      <c r="B73" s="30" t="s">
        <v>78</v>
      </c>
      <c r="C73" s="27" t="s">
        <v>89</v>
      </c>
      <c r="D73" s="27" t="s">
        <v>175</v>
      </c>
      <c r="E73" s="27" t="s">
        <v>120</v>
      </c>
      <c r="F73" s="33">
        <v>0</v>
      </c>
      <c r="G73" s="37">
        <v>3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34">
        <v>0</v>
      </c>
      <c r="V73" s="34">
        <v>0</v>
      </c>
      <c r="W73" s="34">
        <v>0</v>
      </c>
      <c r="X73" s="28">
        <v>0</v>
      </c>
      <c r="Y73" s="28">
        <v>0</v>
      </c>
      <c r="Z73" s="28">
        <v>0</v>
      </c>
      <c r="AB73" s="35">
        <v>24</v>
      </c>
      <c r="AC73" s="35">
        <v>1</v>
      </c>
      <c r="AD73" s="35">
        <v>1</v>
      </c>
      <c r="AE73" s="35">
        <v>1</v>
      </c>
      <c r="AF73" s="32">
        <v>0</v>
      </c>
      <c r="AG73" s="35">
        <v>4</v>
      </c>
    </row>
    <row r="74" spans="2:33" s="2" customFormat="1" ht="37.5" customHeight="1" x14ac:dyDescent="0.25">
      <c r="B74" s="30" t="s">
        <v>78</v>
      </c>
      <c r="C74" s="27" t="s">
        <v>89</v>
      </c>
      <c r="D74" s="27" t="s">
        <v>176</v>
      </c>
      <c r="E74" s="27" t="s">
        <v>118</v>
      </c>
      <c r="F74" s="33">
        <v>0</v>
      </c>
      <c r="G74" s="37">
        <v>1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34">
        <v>0</v>
      </c>
      <c r="V74" s="34">
        <v>0</v>
      </c>
      <c r="W74" s="34">
        <v>0</v>
      </c>
      <c r="X74" s="28">
        <v>0</v>
      </c>
      <c r="Y74" s="28">
        <v>0</v>
      </c>
      <c r="Z74" s="28">
        <v>0</v>
      </c>
      <c r="AB74" s="35">
        <v>8</v>
      </c>
      <c r="AC74" s="32">
        <v>0</v>
      </c>
      <c r="AD74" s="35">
        <v>1</v>
      </c>
      <c r="AE74" s="35">
        <v>1</v>
      </c>
      <c r="AF74" s="32">
        <v>0</v>
      </c>
      <c r="AG74" s="35">
        <v>2</v>
      </c>
    </row>
    <row r="75" spans="2:33" s="2" customFormat="1" ht="49.5" customHeight="1" x14ac:dyDescent="0.25">
      <c r="B75" s="29" t="s">
        <v>78</v>
      </c>
      <c r="C75" s="27" t="s">
        <v>90</v>
      </c>
      <c r="D75" s="27" t="s">
        <v>177</v>
      </c>
      <c r="E75" s="27" t="s">
        <v>116</v>
      </c>
      <c r="F75" s="28">
        <v>0</v>
      </c>
      <c r="G75" s="31">
        <v>3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B75" s="35">
        <v>9</v>
      </c>
      <c r="AC75" s="35">
        <v>2</v>
      </c>
      <c r="AD75" s="35">
        <v>1</v>
      </c>
      <c r="AE75" s="35">
        <v>1</v>
      </c>
      <c r="AF75" s="35">
        <v>1</v>
      </c>
      <c r="AG75" s="35">
        <v>2</v>
      </c>
    </row>
    <row r="76" spans="2:33" s="2" customFormat="1" ht="49.5" customHeight="1" x14ac:dyDescent="0.25">
      <c r="B76" s="29" t="s">
        <v>78</v>
      </c>
      <c r="C76" s="27" t="s">
        <v>91</v>
      </c>
      <c r="D76" s="27" t="s">
        <v>166</v>
      </c>
      <c r="E76" s="27" t="s">
        <v>117</v>
      </c>
      <c r="F76" s="28">
        <v>0</v>
      </c>
      <c r="G76" s="31">
        <v>3</v>
      </c>
      <c r="H76" s="28">
        <v>0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B76" s="35">
        <v>11</v>
      </c>
      <c r="AC76" s="35">
        <v>2</v>
      </c>
      <c r="AD76" s="35">
        <v>1</v>
      </c>
      <c r="AE76" s="35">
        <v>1</v>
      </c>
      <c r="AF76" s="32">
        <v>0</v>
      </c>
      <c r="AG76" s="35">
        <v>6</v>
      </c>
    </row>
    <row r="77" spans="2:33" s="2" customFormat="1" ht="49.5" customHeight="1" x14ac:dyDescent="0.25">
      <c r="B77" s="29" t="s">
        <v>78</v>
      </c>
      <c r="C77" s="27" t="s">
        <v>91</v>
      </c>
      <c r="D77" s="27" t="s">
        <v>199</v>
      </c>
      <c r="E77" s="27" t="s">
        <v>116</v>
      </c>
      <c r="F77" s="28">
        <v>0</v>
      </c>
      <c r="G77" s="31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31">
        <v>1</v>
      </c>
      <c r="X77" s="28">
        <v>0</v>
      </c>
      <c r="Y77" s="28">
        <v>0</v>
      </c>
      <c r="Z77" s="28">
        <v>0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32">
        <v>0</v>
      </c>
    </row>
    <row r="78" spans="2:33" s="2" customFormat="1" ht="49.5" customHeight="1" x14ac:dyDescent="0.25">
      <c r="B78" s="29" t="s">
        <v>78</v>
      </c>
      <c r="C78" s="27" t="s">
        <v>91</v>
      </c>
      <c r="D78" s="27" t="s">
        <v>92</v>
      </c>
      <c r="E78" s="27" t="s">
        <v>134</v>
      </c>
      <c r="F78" s="28">
        <v>0</v>
      </c>
      <c r="G78" s="31">
        <v>1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B78" s="35">
        <v>5</v>
      </c>
      <c r="AC78" s="35">
        <v>2</v>
      </c>
      <c r="AD78" s="35">
        <v>1</v>
      </c>
      <c r="AE78" s="35">
        <v>1</v>
      </c>
      <c r="AF78" s="32">
        <v>0</v>
      </c>
      <c r="AG78" s="35">
        <v>1</v>
      </c>
    </row>
    <row r="79" spans="2:33" s="2" customFormat="1" ht="44.25" customHeight="1" x14ac:dyDescent="0.25">
      <c r="B79" s="30" t="s">
        <v>78</v>
      </c>
      <c r="C79" s="27" t="s">
        <v>93</v>
      </c>
      <c r="D79" s="27" t="s">
        <v>167</v>
      </c>
      <c r="E79" s="27" t="s">
        <v>135</v>
      </c>
      <c r="F79" s="28">
        <v>0</v>
      </c>
      <c r="G79" s="36">
        <v>3</v>
      </c>
      <c r="H79" s="31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B79" s="35">
        <v>19</v>
      </c>
      <c r="AC79" s="32">
        <v>0</v>
      </c>
      <c r="AD79" s="35">
        <v>1</v>
      </c>
      <c r="AE79" s="35">
        <v>1</v>
      </c>
      <c r="AF79" s="32">
        <v>0</v>
      </c>
      <c r="AG79" s="35">
        <v>2</v>
      </c>
    </row>
    <row r="80" spans="2:33" s="2" customFormat="1" ht="44.25" customHeight="1" x14ac:dyDescent="0.25">
      <c r="B80" s="30" t="s">
        <v>78</v>
      </c>
      <c r="C80" s="27" t="s">
        <v>93</v>
      </c>
      <c r="D80" s="27" t="s">
        <v>194</v>
      </c>
      <c r="E80" s="27" t="s">
        <v>136</v>
      </c>
      <c r="F80" s="28">
        <v>0</v>
      </c>
      <c r="G80" s="36">
        <v>2</v>
      </c>
      <c r="H80" s="31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B80" s="35">
        <v>16</v>
      </c>
      <c r="AC80" s="32">
        <v>0</v>
      </c>
      <c r="AD80" s="35">
        <v>1</v>
      </c>
      <c r="AE80" s="35">
        <v>1</v>
      </c>
      <c r="AF80" s="32">
        <v>0</v>
      </c>
      <c r="AG80" s="32">
        <v>0</v>
      </c>
    </row>
    <row r="81" spans="2:33" s="2" customFormat="1" ht="44.25" customHeight="1" x14ac:dyDescent="0.25">
      <c r="B81" s="30" t="s">
        <v>78</v>
      </c>
      <c r="C81" s="27" t="s">
        <v>93</v>
      </c>
      <c r="D81" s="27" t="s">
        <v>143</v>
      </c>
      <c r="E81" s="27" t="s">
        <v>122</v>
      </c>
      <c r="F81" s="28">
        <v>0</v>
      </c>
      <c r="G81" s="36">
        <v>3</v>
      </c>
      <c r="H81" s="31">
        <v>0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B81" s="35">
        <v>15</v>
      </c>
      <c r="AC81" s="32">
        <v>0</v>
      </c>
      <c r="AD81" s="35">
        <v>1</v>
      </c>
      <c r="AE81" s="35">
        <v>1</v>
      </c>
      <c r="AF81" s="32">
        <v>0</v>
      </c>
      <c r="AG81" s="35">
        <v>2</v>
      </c>
    </row>
    <row r="82" spans="2:33" s="2" customFormat="1" ht="44.25" customHeight="1" x14ac:dyDescent="0.25">
      <c r="B82" s="30" t="s">
        <v>78</v>
      </c>
      <c r="C82" s="27" t="s">
        <v>93</v>
      </c>
      <c r="D82" s="27" t="s">
        <v>94</v>
      </c>
      <c r="E82" s="27" t="s">
        <v>137</v>
      </c>
      <c r="F82" s="28">
        <v>0</v>
      </c>
      <c r="G82" s="36">
        <v>1</v>
      </c>
      <c r="H82" s="31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B82" s="35">
        <v>22</v>
      </c>
      <c r="AC82" s="35">
        <v>4</v>
      </c>
      <c r="AD82" s="35">
        <v>1</v>
      </c>
      <c r="AE82" s="35">
        <v>1</v>
      </c>
      <c r="AF82" s="32">
        <v>0</v>
      </c>
      <c r="AG82" s="35">
        <v>4</v>
      </c>
    </row>
    <row r="83" spans="2:33" s="2" customFormat="1" ht="49.5" customHeight="1" x14ac:dyDescent="0.25">
      <c r="B83" s="29" t="s">
        <v>78</v>
      </c>
      <c r="C83" s="27" t="s">
        <v>95</v>
      </c>
      <c r="D83" s="27" t="s">
        <v>193</v>
      </c>
      <c r="E83" s="27" t="s">
        <v>138</v>
      </c>
      <c r="F83" s="28">
        <v>0</v>
      </c>
      <c r="G83" s="31">
        <v>5</v>
      </c>
      <c r="H83" s="31">
        <v>1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B83" s="35">
        <v>8</v>
      </c>
      <c r="AC83" s="35">
        <v>2</v>
      </c>
      <c r="AD83" s="35">
        <v>1</v>
      </c>
      <c r="AE83" s="35">
        <v>1</v>
      </c>
      <c r="AF83" s="32">
        <v>0</v>
      </c>
      <c r="AG83" s="32">
        <v>0</v>
      </c>
    </row>
    <row r="84" spans="2:33" s="2" customFormat="1" ht="49.5" customHeight="1" x14ac:dyDescent="0.25">
      <c r="B84" s="29" t="s">
        <v>78</v>
      </c>
      <c r="C84" s="27" t="s">
        <v>95</v>
      </c>
      <c r="D84" s="27" t="s">
        <v>168</v>
      </c>
      <c r="E84" s="27" t="s">
        <v>138</v>
      </c>
      <c r="F84" s="28">
        <v>0</v>
      </c>
      <c r="G84" s="31">
        <v>1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99">
        <f>+AA85*1</f>
        <v>986964596.6062907</v>
      </c>
      <c r="AB84" s="35">
        <v>12</v>
      </c>
      <c r="AC84" s="32">
        <v>0</v>
      </c>
      <c r="AD84" s="35">
        <v>1</v>
      </c>
      <c r="AE84" s="35">
        <v>1</v>
      </c>
      <c r="AF84" s="32">
        <v>0</v>
      </c>
      <c r="AG84" s="32">
        <v>0</v>
      </c>
    </row>
    <row r="85" spans="2:33" s="2" customFormat="1" ht="49.5" customHeight="1" x14ac:dyDescent="0.25">
      <c r="B85" s="29" t="s">
        <v>78</v>
      </c>
      <c r="C85" s="27" t="s">
        <v>95</v>
      </c>
      <c r="D85" s="27" t="s">
        <v>139</v>
      </c>
      <c r="E85" s="27" t="s">
        <v>197</v>
      </c>
      <c r="F85" s="28">
        <v>0</v>
      </c>
      <c r="G85" s="31">
        <v>2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99">
        <f>+(F86*F97)+(G86*G97)+(H86*H97)+(L86*L97)+(P86*P97)+(U86*U97)+(W86*W97)</f>
        <v>986964596.6062907</v>
      </c>
      <c r="AB85" s="32">
        <v>0</v>
      </c>
      <c r="AC85" s="32">
        <v>0</v>
      </c>
      <c r="AD85" s="32">
        <v>0</v>
      </c>
      <c r="AE85" s="32">
        <v>0</v>
      </c>
      <c r="AF85" s="32">
        <v>0</v>
      </c>
      <c r="AG85" s="32">
        <v>0</v>
      </c>
    </row>
    <row r="86" spans="2:33" s="53" customFormat="1" ht="19.5" customHeight="1" x14ac:dyDescent="0.25">
      <c r="B86" s="165" t="s">
        <v>96</v>
      </c>
      <c r="C86" s="165"/>
      <c r="D86" s="165"/>
      <c r="E86" s="165"/>
      <c r="F86" s="85">
        <f t="shared" ref="F86:Z86" si="10">SUM(F58:F85)</f>
        <v>3</v>
      </c>
      <c r="G86" s="85">
        <f t="shared" si="10"/>
        <v>62</v>
      </c>
      <c r="H86" s="85">
        <f t="shared" si="10"/>
        <v>2</v>
      </c>
      <c r="I86" s="85">
        <f t="shared" si="10"/>
        <v>0</v>
      </c>
      <c r="J86" s="85">
        <f t="shared" si="10"/>
        <v>0</v>
      </c>
      <c r="K86" s="85">
        <f t="shared" si="10"/>
        <v>0</v>
      </c>
      <c r="L86" s="85">
        <f t="shared" si="10"/>
        <v>1</v>
      </c>
      <c r="M86" s="85">
        <f t="shared" si="10"/>
        <v>0</v>
      </c>
      <c r="N86" s="85">
        <f t="shared" si="10"/>
        <v>0</v>
      </c>
      <c r="O86" s="85">
        <f t="shared" si="10"/>
        <v>0</v>
      </c>
      <c r="P86" s="85">
        <f t="shared" si="10"/>
        <v>2</v>
      </c>
      <c r="Q86" s="85">
        <f t="shared" si="10"/>
        <v>0</v>
      </c>
      <c r="R86" s="85">
        <f t="shared" si="10"/>
        <v>0</v>
      </c>
      <c r="S86" s="85">
        <f t="shared" si="10"/>
        <v>0</v>
      </c>
      <c r="T86" s="85">
        <f t="shared" si="10"/>
        <v>0</v>
      </c>
      <c r="U86" s="85">
        <f t="shared" si="10"/>
        <v>1</v>
      </c>
      <c r="V86" s="85">
        <f t="shared" si="10"/>
        <v>0</v>
      </c>
      <c r="W86" s="85">
        <f t="shared" si="10"/>
        <v>1</v>
      </c>
      <c r="X86" s="85">
        <f t="shared" si="10"/>
        <v>0</v>
      </c>
      <c r="Y86" s="85">
        <f t="shared" si="10"/>
        <v>0</v>
      </c>
      <c r="Z86" s="85">
        <f t="shared" si="10"/>
        <v>0</v>
      </c>
      <c r="AA86" s="86">
        <f>SUM(F86:Z86)</f>
        <v>72</v>
      </c>
      <c r="AB86" s="89">
        <f t="shared" ref="AB86:AG86" si="11">SUM(AB58:AB85)</f>
        <v>377</v>
      </c>
      <c r="AC86" s="89">
        <f t="shared" si="11"/>
        <v>34</v>
      </c>
      <c r="AD86" s="89">
        <f t="shared" si="11"/>
        <v>23</v>
      </c>
      <c r="AE86" s="89">
        <f t="shared" si="11"/>
        <v>23</v>
      </c>
      <c r="AF86" s="89">
        <f t="shared" si="11"/>
        <v>10</v>
      </c>
      <c r="AG86" s="89">
        <f t="shared" si="11"/>
        <v>41</v>
      </c>
    </row>
    <row r="87" spans="2:33" s="54" customFormat="1" ht="16.5" customHeight="1" x14ac:dyDescent="0.25">
      <c r="B87" s="55"/>
      <c r="C87" s="55"/>
      <c r="D87" s="55"/>
      <c r="E87" s="55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7"/>
    </row>
    <row r="88" spans="2:33" s="4" customFormat="1" ht="35.25" customHeight="1" x14ac:dyDescent="0.25">
      <c r="B88" s="3"/>
      <c r="C88" s="3"/>
      <c r="D88" s="3"/>
      <c r="E88" s="90" t="s">
        <v>97</v>
      </c>
      <c r="F88" s="91">
        <f t="shared" ref="F88:Z88" si="12">+F12+F18+F33+F49+F57+F86</f>
        <v>9</v>
      </c>
      <c r="G88" s="91">
        <f t="shared" si="12"/>
        <v>165</v>
      </c>
      <c r="H88" s="91">
        <f t="shared" si="12"/>
        <v>6</v>
      </c>
      <c r="I88" s="91">
        <f t="shared" si="12"/>
        <v>0</v>
      </c>
      <c r="J88" s="91">
        <f t="shared" si="12"/>
        <v>0</v>
      </c>
      <c r="K88" s="91">
        <f t="shared" si="12"/>
        <v>0</v>
      </c>
      <c r="L88" s="91">
        <f t="shared" si="12"/>
        <v>2</v>
      </c>
      <c r="M88" s="91">
        <f t="shared" si="12"/>
        <v>1</v>
      </c>
      <c r="N88" s="91">
        <f t="shared" si="12"/>
        <v>0</v>
      </c>
      <c r="O88" s="91">
        <f t="shared" si="12"/>
        <v>1</v>
      </c>
      <c r="P88" s="91">
        <f t="shared" si="12"/>
        <v>5</v>
      </c>
      <c r="Q88" s="91">
        <f t="shared" si="12"/>
        <v>4</v>
      </c>
      <c r="R88" s="91">
        <f t="shared" si="12"/>
        <v>0</v>
      </c>
      <c r="S88" s="91">
        <f t="shared" si="12"/>
        <v>0</v>
      </c>
      <c r="T88" s="91">
        <f t="shared" si="12"/>
        <v>0</v>
      </c>
      <c r="U88" s="91">
        <f t="shared" si="12"/>
        <v>1</v>
      </c>
      <c r="V88" s="91">
        <f t="shared" si="12"/>
        <v>1</v>
      </c>
      <c r="W88" s="91">
        <f t="shared" si="12"/>
        <v>1</v>
      </c>
      <c r="X88" s="91">
        <f t="shared" si="12"/>
        <v>1</v>
      </c>
      <c r="Y88" s="91">
        <f t="shared" si="12"/>
        <v>2</v>
      </c>
      <c r="Z88" s="91">
        <f t="shared" si="12"/>
        <v>0</v>
      </c>
      <c r="AA88" s="22"/>
      <c r="AB88" s="97">
        <f t="shared" ref="AB88:AG88" si="13">+AB12+AB18+AB33+AB49+AB57+AB86</f>
        <v>883</v>
      </c>
      <c r="AC88" s="97">
        <f t="shared" si="13"/>
        <v>59</v>
      </c>
      <c r="AD88" s="97">
        <f t="shared" si="13"/>
        <v>61</v>
      </c>
      <c r="AE88" s="97">
        <f t="shared" si="13"/>
        <v>59</v>
      </c>
      <c r="AF88" s="97">
        <f t="shared" si="13"/>
        <v>16</v>
      </c>
      <c r="AG88" s="97">
        <f t="shared" si="13"/>
        <v>94</v>
      </c>
    </row>
    <row r="89" spans="2:33" s="4" customFormat="1" ht="20.25" customHeight="1" x14ac:dyDescent="0.25">
      <c r="B89" s="3"/>
      <c r="C89" s="5"/>
      <c r="D89" s="5"/>
      <c r="E89" s="65" t="s">
        <v>98</v>
      </c>
      <c r="F89" s="66">
        <v>3</v>
      </c>
      <c r="G89" s="66">
        <v>3</v>
      </c>
      <c r="H89" s="66">
        <v>3</v>
      </c>
      <c r="I89" s="66">
        <v>3</v>
      </c>
      <c r="J89" s="66">
        <v>3</v>
      </c>
      <c r="K89" s="66">
        <v>3</v>
      </c>
      <c r="L89" s="66">
        <v>2</v>
      </c>
      <c r="M89" s="66">
        <v>2</v>
      </c>
      <c r="N89" s="66">
        <v>2</v>
      </c>
      <c r="O89" s="66">
        <v>1.5</v>
      </c>
      <c r="P89" s="67">
        <v>1.5</v>
      </c>
      <c r="Q89" s="67">
        <v>1.5</v>
      </c>
      <c r="R89" s="66">
        <v>1.5</v>
      </c>
      <c r="S89" s="66">
        <v>1.5</v>
      </c>
      <c r="T89" s="66">
        <v>1.5</v>
      </c>
      <c r="U89" s="66">
        <v>1</v>
      </c>
      <c r="V89" s="66">
        <v>1</v>
      </c>
      <c r="W89" s="66">
        <v>1</v>
      </c>
      <c r="X89" s="66">
        <v>1</v>
      </c>
      <c r="Y89" s="66">
        <v>1</v>
      </c>
      <c r="Z89" s="66">
        <v>1</v>
      </c>
    </row>
    <row r="90" spans="2:33" s="4" customFormat="1" ht="20.25" customHeight="1" x14ac:dyDescent="0.25">
      <c r="B90" s="3"/>
      <c r="C90" s="5"/>
      <c r="D90" s="5"/>
      <c r="E90" s="65" t="s">
        <v>99</v>
      </c>
      <c r="F90" s="66">
        <f>F89*F88</f>
        <v>27</v>
      </c>
      <c r="G90" s="66">
        <f t="shared" ref="G90:Z90" si="14">G89*G88</f>
        <v>495</v>
      </c>
      <c r="H90" s="66">
        <f t="shared" si="14"/>
        <v>18</v>
      </c>
      <c r="I90" s="66">
        <f t="shared" si="14"/>
        <v>0</v>
      </c>
      <c r="J90" s="66">
        <f t="shared" si="14"/>
        <v>0</v>
      </c>
      <c r="K90" s="66">
        <f t="shared" si="14"/>
        <v>0</v>
      </c>
      <c r="L90" s="66">
        <f t="shared" si="14"/>
        <v>4</v>
      </c>
      <c r="M90" s="66">
        <f t="shared" si="14"/>
        <v>2</v>
      </c>
      <c r="N90" s="66">
        <f t="shared" si="14"/>
        <v>0</v>
      </c>
      <c r="O90" s="66">
        <f t="shared" si="14"/>
        <v>1.5</v>
      </c>
      <c r="P90" s="67">
        <f t="shared" si="14"/>
        <v>7.5</v>
      </c>
      <c r="Q90" s="67">
        <f t="shared" si="14"/>
        <v>6</v>
      </c>
      <c r="R90" s="67">
        <f t="shared" si="14"/>
        <v>0</v>
      </c>
      <c r="S90" s="67">
        <f t="shared" si="14"/>
        <v>0</v>
      </c>
      <c r="T90" s="67">
        <f t="shared" si="14"/>
        <v>0</v>
      </c>
      <c r="U90" s="66">
        <f t="shared" si="14"/>
        <v>1</v>
      </c>
      <c r="V90" s="66">
        <f t="shared" si="14"/>
        <v>1</v>
      </c>
      <c r="W90" s="66">
        <f t="shared" si="14"/>
        <v>1</v>
      </c>
      <c r="X90" s="66">
        <f t="shared" si="14"/>
        <v>1</v>
      </c>
      <c r="Y90" s="66">
        <f t="shared" si="14"/>
        <v>2</v>
      </c>
      <c r="Z90" s="66">
        <f t="shared" si="14"/>
        <v>0</v>
      </c>
      <c r="AA90" s="23"/>
    </row>
    <row r="91" spans="2:33" s="4" customFormat="1" ht="35.25" customHeight="1" x14ac:dyDescent="0.25">
      <c r="B91" s="3"/>
      <c r="C91" s="5"/>
      <c r="D91" s="5"/>
      <c r="E91" s="65" t="s">
        <v>100</v>
      </c>
      <c r="F91" s="68">
        <v>3000</v>
      </c>
      <c r="G91" s="68">
        <f>$F$91</f>
        <v>3000</v>
      </c>
      <c r="H91" s="68">
        <f t="shared" ref="H91:Z91" si="15">$F$91</f>
        <v>3000</v>
      </c>
      <c r="I91" s="68">
        <f t="shared" si="15"/>
        <v>3000</v>
      </c>
      <c r="J91" s="68">
        <f t="shared" si="15"/>
        <v>3000</v>
      </c>
      <c r="K91" s="68">
        <f t="shared" si="15"/>
        <v>3000</v>
      </c>
      <c r="L91" s="68">
        <f t="shared" si="15"/>
        <v>3000</v>
      </c>
      <c r="M91" s="68">
        <f t="shared" si="15"/>
        <v>3000</v>
      </c>
      <c r="N91" s="68">
        <f t="shared" si="15"/>
        <v>3000</v>
      </c>
      <c r="O91" s="68">
        <f t="shared" si="15"/>
        <v>3000</v>
      </c>
      <c r="P91" s="68">
        <f t="shared" si="15"/>
        <v>3000</v>
      </c>
      <c r="Q91" s="68">
        <f t="shared" si="15"/>
        <v>3000</v>
      </c>
      <c r="R91" s="68">
        <f t="shared" si="15"/>
        <v>3000</v>
      </c>
      <c r="S91" s="68">
        <f t="shared" si="15"/>
        <v>3000</v>
      </c>
      <c r="T91" s="68">
        <f t="shared" si="15"/>
        <v>3000</v>
      </c>
      <c r="U91" s="68">
        <f t="shared" si="15"/>
        <v>3000</v>
      </c>
      <c r="V91" s="68">
        <f t="shared" si="15"/>
        <v>3000</v>
      </c>
      <c r="W91" s="68">
        <f t="shared" si="15"/>
        <v>3000</v>
      </c>
      <c r="X91" s="68">
        <f t="shared" si="15"/>
        <v>3000</v>
      </c>
      <c r="Y91" s="68">
        <f t="shared" si="15"/>
        <v>3000</v>
      </c>
      <c r="Z91" s="68">
        <f t="shared" si="15"/>
        <v>3000</v>
      </c>
      <c r="AA91" s="6"/>
    </row>
    <row r="92" spans="2:33" s="4" customFormat="1" ht="37.5" customHeight="1" x14ac:dyDescent="0.25">
      <c r="B92" s="3"/>
      <c r="C92" s="5"/>
      <c r="D92" s="5"/>
      <c r="E92" s="69" t="s">
        <v>101</v>
      </c>
      <c r="F92" s="70">
        <f>F91*F90</f>
        <v>81000</v>
      </c>
      <c r="G92" s="70">
        <f t="shared" ref="G92:Z92" si="16">G91*G90</f>
        <v>1485000</v>
      </c>
      <c r="H92" s="70">
        <f t="shared" si="16"/>
        <v>54000</v>
      </c>
      <c r="I92" s="70">
        <f t="shared" si="16"/>
        <v>0</v>
      </c>
      <c r="J92" s="70">
        <f t="shared" si="16"/>
        <v>0</v>
      </c>
      <c r="K92" s="70">
        <f t="shared" si="16"/>
        <v>0</v>
      </c>
      <c r="L92" s="70">
        <f t="shared" si="16"/>
        <v>12000</v>
      </c>
      <c r="M92" s="70">
        <f t="shared" si="16"/>
        <v>6000</v>
      </c>
      <c r="N92" s="70">
        <f t="shared" si="16"/>
        <v>0</v>
      </c>
      <c r="O92" s="70">
        <f t="shared" si="16"/>
        <v>4500</v>
      </c>
      <c r="P92" s="70">
        <f t="shared" si="16"/>
        <v>22500</v>
      </c>
      <c r="Q92" s="70">
        <f t="shared" si="16"/>
        <v>18000</v>
      </c>
      <c r="R92" s="70">
        <f t="shared" si="16"/>
        <v>0</v>
      </c>
      <c r="S92" s="70">
        <f t="shared" si="16"/>
        <v>0</v>
      </c>
      <c r="T92" s="70">
        <f t="shared" si="16"/>
        <v>0</v>
      </c>
      <c r="U92" s="70">
        <f t="shared" si="16"/>
        <v>3000</v>
      </c>
      <c r="V92" s="70">
        <f t="shared" si="16"/>
        <v>3000</v>
      </c>
      <c r="W92" s="70">
        <f t="shared" si="16"/>
        <v>3000</v>
      </c>
      <c r="X92" s="70">
        <f t="shared" si="16"/>
        <v>3000</v>
      </c>
      <c r="Y92" s="70">
        <f t="shared" si="16"/>
        <v>6000</v>
      </c>
      <c r="Z92" s="70">
        <f t="shared" si="16"/>
        <v>0</v>
      </c>
      <c r="AA92" s="24"/>
    </row>
    <row r="94" spans="2:33" ht="15.75" customHeight="1" x14ac:dyDescent="0.25">
      <c r="C94" s="12"/>
      <c r="D94" s="12"/>
      <c r="E94" s="47" t="s">
        <v>102</v>
      </c>
      <c r="F94" s="45">
        <f>((9.14*1423500)+(500*3))</f>
        <v>13012290</v>
      </c>
      <c r="G94" s="45">
        <f>(9.14*1423500+(500*3))</f>
        <v>13012290</v>
      </c>
      <c r="H94" s="45">
        <f>(9.14*1423500+(500*3))</f>
        <v>13012290</v>
      </c>
      <c r="I94" s="45">
        <f>(9.29*1423500+(500*3))</f>
        <v>13225814.999999998</v>
      </c>
      <c r="J94" s="45">
        <f>(9.29*1423500+(500*3))/30*20</f>
        <v>8817209.9999999981</v>
      </c>
      <c r="K94" s="45">
        <f>(9.29*1423500+(500*3))/30*24</f>
        <v>10580651.999999998</v>
      </c>
      <c r="L94" s="45">
        <f>(((9.14*1423500+(500*3))*55.97%)+((9.14*1423500+(500*3))*44.03%/9*1))</f>
        <v>7919568.8559999997</v>
      </c>
      <c r="M94" s="45">
        <f>(((9.14*1423500+(500*3))*55.97%)+((9.14*1423500+(500*3))*44.03%/9*1))/30*20</f>
        <v>5279712.5706666661</v>
      </c>
      <c r="N94" s="45">
        <f>(((9.29*1423500+(500*3))*55.97%)+((9.29*1423500+(500*3))*44.03%/9*1))/30*24</f>
        <v>6439619.9327999987</v>
      </c>
      <c r="O94" s="45">
        <f>((9.14*1423500+(500*3))*55.97%/15*12)</f>
        <v>5826382.9703999991</v>
      </c>
      <c r="P94" s="45">
        <f>((9.14*1423500+(500*3))*55.97%/15*12)/30*20</f>
        <v>3884255.3135999995</v>
      </c>
      <c r="Q94" s="45">
        <f>((9.14*1423500+(500*3))*55.97%/15*12)/30*24</f>
        <v>4661106.3763199998</v>
      </c>
      <c r="R94" s="45">
        <f>(((9.29*1423500+(500*3))*55.97%/15*3)+((9.29*1423500+(500*3))*44.03%/9*9))</f>
        <v>7303824.0755999992</v>
      </c>
      <c r="S94" s="45">
        <f>((((9.29*1423500+(500*3))*55.97%/15*3)+((9.29*1423500+(500*3))*44.03%/9*9))/30)*24</f>
        <v>5843059.2604799997</v>
      </c>
      <c r="T94" s="45">
        <f>(((9.29*1423500+(500*3))*55.97%/15*3)+((9.29*1423500+(500*3))*44.03%/9*9))</f>
        <v>7303824.0755999992</v>
      </c>
      <c r="U94" s="45">
        <f>((9.14*1423500+(500*3))*44.03%/9*8)</f>
        <v>5092721.1440000003</v>
      </c>
      <c r="V94" s="45">
        <f>((9.14*1423500+(500*3))*44.03%/9*8)</f>
        <v>5092721.1440000003</v>
      </c>
      <c r="W94" s="45">
        <f>(9.14*1423500+(500*3))*44.03%/9*8/30*20</f>
        <v>3395147.4293333334</v>
      </c>
      <c r="X94" s="45">
        <f>(9.14*1423500+(500*3))*55.97%/15*8/30*24</f>
        <v>3107404.2508799993</v>
      </c>
      <c r="Y94" s="45">
        <f>(9.14*1423500+(500*3))*55.97%/15*8/30*20</f>
        <v>2589503.5423999997</v>
      </c>
      <c r="Z94" s="45">
        <f>((9.14*1423500+(500*3))*55.97%/15*8)</f>
        <v>3884255.3135999995</v>
      </c>
      <c r="AB94" s="45">
        <v>11227</v>
      </c>
      <c r="AC94" s="45">
        <v>43635</v>
      </c>
      <c r="AD94" s="45">
        <v>55898</v>
      </c>
      <c r="AE94" s="45">
        <v>40588</v>
      </c>
      <c r="AF94" s="45">
        <v>127990</v>
      </c>
      <c r="AG94" s="45">
        <v>43069</v>
      </c>
    </row>
    <row r="95" spans="2:33" ht="15.75" customHeight="1" x14ac:dyDescent="0.25">
      <c r="C95" s="12"/>
      <c r="D95" s="12"/>
      <c r="E95" s="47" t="s">
        <v>103</v>
      </c>
      <c r="F95" s="45">
        <f>+F94*0.1</f>
        <v>1301229</v>
      </c>
      <c r="G95" s="45">
        <f>+G94*0.08</f>
        <v>1040983.2000000001</v>
      </c>
      <c r="H95" s="45">
        <f t="shared" ref="H95:Z95" si="17">+H94*0.08</f>
        <v>1040983.2000000001</v>
      </c>
      <c r="I95" s="45">
        <f>+I94*0.11</f>
        <v>1454839.65</v>
      </c>
      <c r="J95" s="45">
        <f t="shared" si="17"/>
        <v>705376.79999999981</v>
      </c>
      <c r="K95" s="45">
        <f t="shared" si="17"/>
        <v>846452.15999999992</v>
      </c>
      <c r="L95" s="45">
        <f t="shared" si="17"/>
        <v>633565.50847999996</v>
      </c>
      <c r="M95" s="45">
        <f t="shared" si="17"/>
        <v>422377.00565333333</v>
      </c>
      <c r="N95" s="45">
        <f t="shared" si="17"/>
        <v>515169.5946239999</v>
      </c>
      <c r="O95" s="45">
        <f t="shared" si="17"/>
        <v>466110.63763199991</v>
      </c>
      <c r="P95" s="45">
        <f t="shared" si="17"/>
        <v>310740.42508799996</v>
      </c>
      <c r="Q95" s="45">
        <f t="shared" si="17"/>
        <v>372888.5101056</v>
      </c>
      <c r="R95" s="45">
        <f t="shared" si="17"/>
        <v>584305.92604799999</v>
      </c>
      <c r="S95" s="45">
        <f t="shared" si="17"/>
        <v>467444.74083839997</v>
      </c>
      <c r="T95" s="45">
        <f>+T94*0.1</f>
        <v>730382.40755999996</v>
      </c>
      <c r="U95" s="45">
        <f>+U94*0.1</f>
        <v>509272.11440000008</v>
      </c>
      <c r="V95" s="45">
        <f t="shared" si="17"/>
        <v>407417.69152000005</v>
      </c>
      <c r="W95" s="45">
        <f t="shared" si="17"/>
        <v>271611.79434666666</v>
      </c>
      <c r="X95" s="45">
        <f t="shared" si="17"/>
        <v>248592.34007039995</v>
      </c>
      <c r="Y95" s="45">
        <f t="shared" si="17"/>
        <v>207160.28339199998</v>
      </c>
      <c r="Z95" s="45">
        <f t="shared" si="17"/>
        <v>310740.42508799996</v>
      </c>
      <c r="AB95" s="45"/>
      <c r="AC95" s="45"/>
      <c r="AD95" s="45"/>
      <c r="AE95" s="45"/>
      <c r="AF95" s="45"/>
      <c r="AG95" s="45"/>
    </row>
    <row r="96" spans="2:33" ht="15.75" customHeight="1" x14ac:dyDescent="0.25">
      <c r="C96" s="12"/>
      <c r="D96" s="12"/>
      <c r="E96" s="47" t="s">
        <v>104</v>
      </c>
      <c r="F96" s="45">
        <f>+(F94+F95)*0.019</f>
        <v>271956.86099999998</v>
      </c>
      <c r="G96" s="45">
        <f t="shared" ref="G96:Z96" si="18">+(G94+G95)*0.019</f>
        <v>267012.19079999998</v>
      </c>
      <c r="H96" s="45">
        <f t="shared" si="18"/>
        <v>267012.19079999998</v>
      </c>
      <c r="I96" s="45">
        <f t="shared" si="18"/>
        <v>278932.43834999995</v>
      </c>
      <c r="J96" s="45">
        <f t="shared" si="18"/>
        <v>180929.14919999993</v>
      </c>
      <c r="K96" s="45">
        <f t="shared" si="18"/>
        <v>217114.97903999998</v>
      </c>
      <c r="L96" s="45">
        <f t="shared" si="18"/>
        <v>162509.55292511999</v>
      </c>
      <c r="M96" s="45">
        <f t="shared" si="18"/>
        <v>108339.70195007998</v>
      </c>
      <c r="N96" s="45">
        <f t="shared" si="18"/>
        <v>132141.00102105597</v>
      </c>
      <c r="O96" s="45">
        <f t="shared" si="18"/>
        <v>119557.37855260799</v>
      </c>
      <c r="P96" s="45">
        <f t="shared" si="18"/>
        <v>79704.919035071987</v>
      </c>
      <c r="Q96" s="45">
        <f t="shared" si="18"/>
        <v>95645.902842086391</v>
      </c>
      <c r="R96" s="45">
        <f t="shared" si="18"/>
        <v>149874.470031312</v>
      </c>
      <c r="S96" s="45">
        <f t="shared" si="18"/>
        <v>119899.5760250496</v>
      </c>
      <c r="T96" s="45">
        <f t="shared" si="18"/>
        <v>152649.92318003997</v>
      </c>
      <c r="U96" s="45">
        <f t="shared" si="18"/>
        <v>106437.87190960001</v>
      </c>
      <c r="V96" s="45">
        <f t="shared" si="18"/>
        <v>104502.63787488001</v>
      </c>
      <c r="W96" s="45">
        <f t="shared" si="18"/>
        <v>69668.425249919994</v>
      </c>
      <c r="X96" s="45">
        <f t="shared" si="18"/>
        <v>63763.935228057584</v>
      </c>
      <c r="Y96" s="45">
        <f t="shared" si="18"/>
        <v>53136.612690047994</v>
      </c>
      <c r="Z96" s="45">
        <f t="shared" si="18"/>
        <v>79704.919035071987</v>
      </c>
      <c r="AB96" s="45">
        <f>+AB94*0.19</f>
        <v>2133.13</v>
      </c>
      <c r="AC96" s="45">
        <f t="shared" ref="AC96:AG96" si="19">+AC94*0.19</f>
        <v>8290.65</v>
      </c>
      <c r="AD96" s="45">
        <f t="shared" si="19"/>
        <v>10620.62</v>
      </c>
      <c r="AE96" s="45">
        <f t="shared" si="19"/>
        <v>7711.72</v>
      </c>
      <c r="AF96" s="45">
        <f t="shared" si="19"/>
        <v>24318.1</v>
      </c>
      <c r="AG96" s="45">
        <f t="shared" si="19"/>
        <v>8183.11</v>
      </c>
    </row>
    <row r="97" spans="2:33" ht="15.75" customHeight="1" x14ac:dyDescent="0.25">
      <c r="C97" s="12"/>
      <c r="D97" s="12"/>
      <c r="E97" s="48" t="s">
        <v>105</v>
      </c>
      <c r="F97" s="49">
        <f>+F94+F95+F96</f>
        <v>14585475.861</v>
      </c>
      <c r="G97" s="49">
        <f>+G94+G95+G96</f>
        <v>14320285.390799999</v>
      </c>
      <c r="H97" s="49">
        <f t="shared" ref="H97:Z97" si="20">+H94+H95+H96</f>
        <v>14320285.390799999</v>
      </c>
      <c r="I97" s="49">
        <f t="shared" si="20"/>
        <v>14959587.088349998</v>
      </c>
      <c r="J97" s="49">
        <f t="shared" si="20"/>
        <v>9703515.9491999969</v>
      </c>
      <c r="K97" s="49">
        <f t="shared" si="20"/>
        <v>11644219.139039999</v>
      </c>
      <c r="L97" s="49">
        <f>+L94+L95+L96</f>
        <v>8715643.9174051192</v>
      </c>
      <c r="M97" s="49">
        <f t="shared" si="20"/>
        <v>5810429.2782700788</v>
      </c>
      <c r="N97" s="49">
        <f t="shared" si="20"/>
        <v>7086930.5284450538</v>
      </c>
      <c r="O97" s="49">
        <f t="shared" si="20"/>
        <v>6412050.9865846075</v>
      </c>
      <c r="P97" s="49">
        <f t="shared" si="20"/>
        <v>4274700.657723072</v>
      </c>
      <c r="Q97" s="49">
        <f t="shared" si="20"/>
        <v>5129640.7892676862</v>
      </c>
      <c r="R97" s="49">
        <f t="shared" si="20"/>
        <v>8038004.4716793112</v>
      </c>
      <c r="S97" s="49">
        <f t="shared" si="20"/>
        <v>6430403.577343449</v>
      </c>
      <c r="T97" s="49">
        <f t="shared" si="20"/>
        <v>8186856.4063400393</v>
      </c>
      <c r="U97" s="49">
        <f t="shared" si="20"/>
        <v>5708431.1303096004</v>
      </c>
      <c r="V97" s="49">
        <f t="shared" si="20"/>
        <v>5604641.4733948801</v>
      </c>
      <c r="W97" s="49">
        <f t="shared" si="20"/>
        <v>3736427.64892992</v>
      </c>
      <c r="X97" s="49">
        <f t="shared" si="20"/>
        <v>3419760.5261784568</v>
      </c>
      <c r="Y97" s="49">
        <f t="shared" si="20"/>
        <v>2849800.4384820475</v>
      </c>
      <c r="Z97" s="49">
        <f t="shared" si="20"/>
        <v>4274700.657723072</v>
      </c>
      <c r="AB97" s="44">
        <f>+AB94+AB96</f>
        <v>13360.130000000001</v>
      </c>
      <c r="AC97" s="44">
        <f t="shared" ref="AC97:AG97" si="21">+AC94+AC96</f>
        <v>51925.65</v>
      </c>
      <c r="AD97" s="44">
        <f t="shared" si="21"/>
        <v>66518.62</v>
      </c>
      <c r="AE97" s="44">
        <f t="shared" si="21"/>
        <v>48299.72</v>
      </c>
      <c r="AF97" s="44">
        <f t="shared" si="21"/>
        <v>152308.1</v>
      </c>
      <c r="AG97" s="44">
        <f t="shared" si="21"/>
        <v>51252.11</v>
      </c>
    </row>
    <row r="99" spans="2:33" ht="18" customHeight="1" x14ac:dyDescent="0.25">
      <c r="C99" s="12"/>
      <c r="D99" s="12"/>
      <c r="E99" s="74" t="s">
        <v>106</v>
      </c>
      <c r="F99" s="75">
        <f>+F88*(F$94+F$95)</f>
        <v>128821671</v>
      </c>
      <c r="G99" s="75">
        <f>+(G88)*(G$94+G$95)</f>
        <v>2318790078</v>
      </c>
      <c r="H99" s="75">
        <f>+H88*(H$94+H$95)</f>
        <v>84319639.199999988</v>
      </c>
      <c r="I99" s="75">
        <f t="shared" ref="I99:Z99" si="22">+I88*(I$94+I$95)</f>
        <v>0</v>
      </c>
      <c r="J99" s="75">
        <f t="shared" si="22"/>
        <v>0</v>
      </c>
      <c r="K99" s="75">
        <f t="shared" si="22"/>
        <v>0</v>
      </c>
      <c r="L99" s="75">
        <f t="shared" si="22"/>
        <v>17106268.72896</v>
      </c>
      <c r="M99" s="75">
        <f>+M88*(M$94+M$95)</f>
        <v>5702089.5763199991</v>
      </c>
      <c r="N99" s="75">
        <f t="shared" si="22"/>
        <v>0</v>
      </c>
      <c r="O99" s="75">
        <f t="shared" si="22"/>
        <v>6292493.6080319993</v>
      </c>
      <c r="P99" s="75">
        <f t="shared" si="22"/>
        <v>20974978.693439998</v>
      </c>
      <c r="Q99" s="75">
        <f t="shared" si="22"/>
        <v>20135979.545702398</v>
      </c>
      <c r="R99" s="75">
        <f t="shared" si="22"/>
        <v>0</v>
      </c>
      <c r="S99" s="75">
        <f t="shared" si="22"/>
        <v>0</v>
      </c>
      <c r="T99" s="75">
        <f t="shared" si="22"/>
        <v>0</v>
      </c>
      <c r="U99" s="75">
        <f t="shared" si="22"/>
        <v>5601993.2584000006</v>
      </c>
      <c r="V99" s="75">
        <f t="shared" si="22"/>
        <v>5500138.8355200002</v>
      </c>
      <c r="W99" s="75">
        <f t="shared" si="22"/>
        <v>3666759.2236799998</v>
      </c>
      <c r="X99" s="75">
        <f t="shared" si="22"/>
        <v>3355996.5909503992</v>
      </c>
      <c r="Y99" s="75">
        <f t="shared" si="22"/>
        <v>5593327.6515839994</v>
      </c>
      <c r="Z99" s="75">
        <f t="shared" si="22"/>
        <v>0</v>
      </c>
      <c r="AA99" s="10"/>
      <c r="AB99" s="76">
        <f>+AB88*(AB94+AB95)</f>
        <v>9913441</v>
      </c>
      <c r="AC99" s="76">
        <f t="shared" ref="AC99:AG99" si="23">+AC88*(AC94+AC95)</f>
        <v>2574465</v>
      </c>
      <c r="AD99" s="76">
        <f t="shared" si="23"/>
        <v>3409778</v>
      </c>
      <c r="AE99" s="76">
        <f t="shared" si="23"/>
        <v>2394692</v>
      </c>
      <c r="AF99" s="76">
        <f t="shared" si="23"/>
        <v>2047840</v>
      </c>
      <c r="AG99" s="76">
        <f t="shared" si="23"/>
        <v>4048486</v>
      </c>
    </row>
    <row r="100" spans="2:33" s="12" customFormat="1" ht="18" customHeight="1" x14ac:dyDescent="0.25">
      <c r="E100" s="74" t="s">
        <v>107</v>
      </c>
      <c r="F100" s="75">
        <f>(F$96*F88)</f>
        <v>2447611.7489999998</v>
      </c>
      <c r="G100" s="75">
        <f>(G$96*(G88))</f>
        <v>44057011.481999993</v>
      </c>
      <c r="H100" s="75">
        <f t="shared" ref="H100:Z100" si="24">(H$96*H88)</f>
        <v>1602073.1447999999</v>
      </c>
      <c r="I100" s="75">
        <f t="shared" si="24"/>
        <v>0</v>
      </c>
      <c r="J100" s="75">
        <f t="shared" si="24"/>
        <v>0</v>
      </c>
      <c r="K100" s="75">
        <f t="shared" si="24"/>
        <v>0</v>
      </c>
      <c r="L100" s="75">
        <f t="shared" si="24"/>
        <v>325019.10585023998</v>
      </c>
      <c r="M100" s="75">
        <f t="shared" si="24"/>
        <v>108339.70195007998</v>
      </c>
      <c r="N100" s="75">
        <f t="shared" si="24"/>
        <v>0</v>
      </c>
      <c r="O100" s="75">
        <f t="shared" si="24"/>
        <v>119557.37855260799</v>
      </c>
      <c r="P100" s="75">
        <f t="shared" si="24"/>
        <v>398524.59517535992</v>
      </c>
      <c r="Q100" s="75">
        <f t="shared" si="24"/>
        <v>382583.61136834556</v>
      </c>
      <c r="R100" s="75">
        <f t="shared" si="24"/>
        <v>0</v>
      </c>
      <c r="S100" s="75">
        <f t="shared" si="24"/>
        <v>0</v>
      </c>
      <c r="T100" s="75">
        <f t="shared" si="24"/>
        <v>0</v>
      </c>
      <c r="U100" s="75">
        <f t="shared" si="24"/>
        <v>106437.87190960001</v>
      </c>
      <c r="V100" s="75">
        <f t="shared" si="24"/>
        <v>104502.63787488001</v>
      </c>
      <c r="W100" s="75">
        <f t="shared" si="24"/>
        <v>69668.425249919994</v>
      </c>
      <c r="X100" s="75">
        <f t="shared" si="24"/>
        <v>63763.935228057584</v>
      </c>
      <c r="Y100" s="75">
        <f t="shared" si="24"/>
        <v>106273.22538009599</v>
      </c>
      <c r="Z100" s="75">
        <f t="shared" si="24"/>
        <v>0</v>
      </c>
      <c r="AA100" s="11"/>
      <c r="AB100" s="76">
        <f t="shared" ref="AB100:AG100" si="25">+ROUND(((AB12+AB18+AB33+AB49+AB57+AB86)*AB96),0)</f>
        <v>1883554</v>
      </c>
      <c r="AC100" s="76">
        <f t="shared" si="25"/>
        <v>489148</v>
      </c>
      <c r="AD100" s="76">
        <f t="shared" si="25"/>
        <v>647858</v>
      </c>
      <c r="AE100" s="76">
        <f t="shared" si="25"/>
        <v>454991</v>
      </c>
      <c r="AF100" s="76">
        <f t="shared" si="25"/>
        <v>389090</v>
      </c>
      <c r="AG100" s="76">
        <f t="shared" si="25"/>
        <v>769212</v>
      </c>
    </row>
    <row r="101" spans="2:33" s="12" customFormat="1" ht="18" customHeight="1" x14ac:dyDescent="0.25">
      <c r="B101" s="46"/>
      <c r="C101" s="46"/>
      <c r="D101" s="46"/>
      <c r="E101" s="73" t="s">
        <v>200</v>
      </c>
      <c r="F101" s="78">
        <f>+F99+F100</f>
        <v>131269282.749</v>
      </c>
      <c r="G101" s="78">
        <f>+G99+G100</f>
        <v>2362847089.4819999</v>
      </c>
      <c r="H101" s="78">
        <f t="shared" ref="H101:Y101" si="26">+H99+H100</f>
        <v>85921712.344799995</v>
      </c>
      <c r="I101" s="78">
        <f t="shared" si="26"/>
        <v>0</v>
      </c>
      <c r="J101" s="78">
        <f t="shared" si="26"/>
        <v>0</v>
      </c>
      <c r="K101" s="78">
        <f t="shared" si="26"/>
        <v>0</v>
      </c>
      <c r="L101" s="78">
        <f t="shared" si="26"/>
        <v>17431287.834810238</v>
      </c>
      <c r="M101" s="78">
        <f>+M99+M100</f>
        <v>5810429.2782700788</v>
      </c>
      <c r="N101" s="78">
        <f t="shared" si="26"/>
        <v>0</v>
      </c>
      <c r="O101" s="78">
        <f t="shared" si="26"/>
        <v>6412050.9865846075</v>
      </c>
      <c r="P101" s="78">
        <f t="shared" si="26"/>
        <v>21373503.288615357</v>
      </c>
      <c r="Q101" s="78">
        <f t="shared" si="26"/>
        <v>20518563.157070745</v>
      </c>
      <c r="R101" s="78">
        <f t="shared" si="26"/>
        <v>0</v>
      </c>
      <c r="S101" s="78">
        <f t="shared" si="26"/>
        <v>0</v>
      </c>
      <c r="T101" s="78">
        <f t="shared" si="26"/>
        <v>0</v>
      </c>
      <c r="U101" s="78">
        <f t="shared" si="26"/>
        <v>5708431.1303096004</v>
      </c>
      <c r="V101" s="78">
        <f t="shared" si="26"/>
        <v>5604641.4733948801</v>
      </c>
      <c r="W101" s="78">
        <f t="shared" si="26"/>
        <v>3736427.64892992</v>
      </c>
      <c r="X101" s="78">
        <f t="shared" si="26"/>
        <v>3419760.5261784568</v>
      </c>
      <c r="Y101" s="78">
        <f t="shared" si="26"/>
        <v>5699600.876964095</v>
      </c>
      <c r="Z101" s="78">
        <f>+Z99+Z100</f>
        <v>0</v>
      </c>
      <c r="AA101" s="11"/>
      <c r="AB101" s="77">
        <f>+AB99+AB100</f>
        <v>11796995</v>
      </c>
      <c r="AC101" s="77">
        <f t="shared" ref="AC101:AG101" si="27">+AC99+AC100</f>
        <v>3063613</v>
      </c>
      <c r="AD101" s="77">
        <f t="shared" si="27"/>
        <v>4057636</v>
      </c>
      <c r="AE101" s="77">
        <f t="shared" si="27"/>
        <v>2849683</v>
      </c>
      <c r="AF101" s="77">
        <f t="shared" si="27"/>
        <v>2436930</v>
      </c>
      <c r="AG101" s="77">
        <f t="shared" si="27"/>
        <v>4817698</v>
      </c>
    </row>
    <row r="102" spans="2:33" x14ac:dyDescent="0.25">
      <c r="D102" s="13"/>
      <c r="E102" s="14"/>
      <c r="F102" s="15"/>
      <c r="G102" s="16"/>
      <c r="H102" s="16"/>
      <c r="I102" s="16"/>
      <c r="J102" s="16"/>
      <c r="K102" s="16"/>
      <c r="L102" s="16"/>
      <c r="M102" s="16"/>
    </row>
    <row r="103" spans="2:33" ht="31.5" x14ac:dyDescent="0.25">
      <c r="C103" s="79" t="s">
        <v>108</v>
      </c>
      <c r="D103" s="79" t="s">
        <v>109</v>
      </c>
    </row>
    <row r="104" spans="2:33" ht="15.75" x14ac:dyDescent="0.25">
      <c r="C104" s="63">
        <f>+AA11+AA17+AA32+AA48+AA56+AA85</f>
        <v>2675752780.7769279</v>
      </c>
      <c r="D104" s="63">
        <f>SUM(AB101:AG101)</f>
        <v>29022555</v>
      </c>
    </row>
    <row r="105" spans="2:33" ht="27" customHeight="1" x14ac:dyDescent="0.25"/>
    <row r="106" spans="2:33" ht="31.5" customHeight="1" x14ac:dyDescent="0.25">
      <c r="C106" s="80" t="s">
        <v>0</v>
      </c>
      <c r="D106" s="80" t="s">
        <v>110</v>
      </c>
      <c r="E106" s="80" t="s">
        <v>111</v>
      </c>
      <c r="F106" s="80" t="s">
        <v>203</v>
      </c>
      <c r="G106" s="80" t="s">
        <v>112</v>
      </c>
      <c r="K106" s="20"/>
      <c r="L106" s="20"/>
      <c r="Y106" s="7"/>
    </row>
    <row r="107" spans="2:33" ht="20.25" customHeight="1" x14ac:dyDescent="0.25">
      <c r="C107" s="59" t="s">
        <v>113</v>
      </c>
      <c r="D107" s="60">
        <f>+AA11*1</f>
        <v>246864612.16977844</v>
      </c>
      <c r="E107" s="60">
        <f>+((AB12*AB97)+(AC12*AC97)+(AD12*AD97)+(AE12*AE97)+(AF12*AF97)+(AG12*AG97))*1</f>
        <v>2617733.4400000004</v>
      </c>
      <c r="F107" s="61">
        <f>+E107*0.052</f>
        <v>136122.13888000001</v>
      </c>
      <c r="G107" s="60">
        <f t="shared" ref="G107:G113" si="28">SUM(D107:F107)</f>
        <v>249618467.74865845</v>
      </c>
      <c r="K107" s="21"/>
      <c r="L107" s="20"/>
      <c r="Y107" s="7"/>
    </row>
    <row r="108" spans="2:33" ht="20.25" customHeight="1" x14ac:dyDescent="0.25">
      <c r="C108" s="59" t="s">
        <v>42</v>
      </c>
      <c r="D108" s="60">
        <f>+AA17*1</f>
        <v>253696224.18155211</v>
      </c>
      <c r="E108" s="60">
        <f>+((AB18*AB97)+(AC18*AC97)+(AD18*AD97)+(AE18*AE97)+(AF18*AF97)+(AG18*AG97))*1</f>
        <v>2321296.1100000003</v>
      </c>
      <c r="F108" s="61">
        <f t="shared" ref="F108:F112" si="29">+E108*0.052</f>
        <v>120707.39772000001</v>
      </c>
      <c r="G108" s="60">
        <f t="shared" si="28"/>
        <v>256138227.68927214</v>
      </c>
      <c r="K108" s="21"/>
      <c r="L108" s="20"/>
      <c r="Y108" s="7"/>
    </row>
    <row r="109" spans="2:33" ht="20.25" customHeight="1" x14ac:dyDescent="0.25">
      <c r="C109" s="59" t="s">
        <v>50</v>
      </c>
      <c r="D109" s="60">
        <f>+AA32*1</f>
        <v>374678467.33511996</v>
      </c>
      <c r="E109" s="60">
        <f>+((AB33*AB97)+(AC33*AC97)+(AD33*AD97)+(AE33*AE97)+(AF33*AF97)+(AG33*AG97))*1</f>
        <v>4207146.2300000004</v>
      </c>
      <c r="F109" s="61">
        <f t="shared" si="29"/>
        <v>218771.60396000001</v>
      </c>
      <c r="G109" s="60">
        <f t="shared" si="28"/>
        <v>379104385.16907996</v>
      </c>
      <c r="K109" s="21"/>
      <c r="L109" s="20"/>
      <c r="Y109" s="7"/>
    </row>
    <row r="110" spans="2:33" ht="20.25" customHeight="1" x14ac:dyDescent="0.25">
      <c r="C110" s="59" t="s">
        <v>114</v>
      </c>
      <c r="D110" s="60">
        <f>+AA48*1</f>
        <v>418351773.61714047</v>
      </c>
      <c r="E110" s="60">
        <f>+((AB49*AB97)+(AC49*AC97)+(AD49*AD97)+(AE49*AE97)+(AF49*AF97)+(AG49*AG97))*1</f>
        <v>3706635.8</v>
      </c>
      <c r="F110" s="61">
        <f t="shared" si="29"/>
        <v>192745.06159999999</v>
      </c>
      <c r="G110" s="60">
        <f t="shared" si="28"/>
        <v>422251154.47874051</v>
      </c>
      <c r="K110" s="21"/>
      <c r="L110" s="20"/>
      <c r="Y110" s="7"/>
    </row>
    <row r="111" spans="2:33" ht="20.25" customHeight="1" x14ac:dyDescent="0.25">
      <c r="C111" s="59" t="s">
        <v>75</v>
      </c>
      <c r="D111" s="60">
        <f>+AA56*1</f>
        <v>395197106.86704612</v>
      </c>
      <c r="E111" s="60">
        <f>+((AB57*AB97)+(AC57*AC97)+(AD57*AD97)+(AE57*AE97)+(AF57*AF97)+(AG57*AG97))*1</f>
        <v>3102263.3600000003</v>
      </c>
      <c r="F111" s="61">
        <f t="shared" si="29"/>
        <v>161317.69472</v>
      </c>
      <c r="G111" s="60">
        <f t="shared" si="28"/>
        <v>398460687.9217661</v>
      </c>
      <c r="K111" s="21"/>
      <c r="L111" s="20"/>
      <c r="Y111" s="7"/>
    </row>
    <row r="112" spans="2:33" ht="20.25" customHeight="1" x14ac:dyDescent="0.25">
      <c r="C112" s="59" t="s">
        <v>78</v>
      </c>
      <c r="D112" s="60">
        <f>+AA85*1</f>
        <v>986964596.6062907</v>
      </c>
      <c r="E112" s="60">
        <f>+((AB86*AB97)+(AC86*AC97)+(AD86*AD97)+(AE86*AE97)+(AF86*AF97)+(AG86*AG97))*1</f>
        <v>13067480.440000001</v>
      </c>
      <c r="F112" s="61">
        <f t="shared" si="29"/>
        <v>679508.98288000003</v>
      </c>
      <c r="G112" s="60">
        <f t="shared" si="28"/>
        <v>1000711586.0291708</v>
      </c>
      <c r="K112" s="21"/>
      <c r="L112" s="20"/>
      <c r="Y112" s="7"/>
    </row>
    <row r="113" spans="3:25" ht="20.25" customHeight="1" x14ac:dyDescent="0.25">
      <c r="C113" s="64" t="s">
        <v>115</v>
      </c>
      <c r="D113" s="62">
        <f>SUM(D107:D112)</f>
        <v>2675752780.7769279</v>
      </c>
      <c r="E113" s="62">
        <f>SUM(E107:E112)</f>
        <v>29022555.380000003</v>
      </c>
      <c r="F113" s="62">
        <f>SUM(F107:F112)</f>
        <v>1509172.8797599999</v>
      </c>
      <c r="G113" s="62">
        <f t="shared" si="28"/>
        <v>2706284509.0366879</v>
      </c>
      <c r="K113" s="20"/>
      <c r="L113" s="20"/>
      <c r="Y113" s="7"/>
    </row>
  </sheetData>
  <mergeCells count="6">
    <mergeCell ref="B86:E86"/>
    <mergeCell ref="B12:E12"/>
    <mergeCell ref="B18:E18"/>
    <mergeCell ref="B33:E33"/>
    <mergeCell ref="B49:E49"/>
    <mergeCell ref="B57:E57"/>
  </mergeCells>
  <pageMargins left="0.27559055118110237" right="0.31496062992125984" top="0.74803149606299213" bottom="0.74803149606299213" header="0.31496062992125984" footer="0.31496062992125984"/>
  <pageSetup paperSize="14" scale="50" orientation="landscape" r:id="rId1"/>
  <ignoredErrors>
    <ignoredError sqref="AA49 F91:Z91 G99:G100 AA57 AA18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H119"/>
  <sheetViews>
    <sheetView showGridLines="0" zoomScale="80" zoomScaleNormal="80" workbookViewId="0">
      <pane xSplit="5" ySplit="1" topLeftCell="F92" activePane="bottomRight" state="frozen"/>
      <selection pane="topRight" activeCell="F1" sqref="F1"/>
      <selection pane="bottomLeft" activeCell="A2" sqref="A2"/>
      <selection pane="bottomRight" activeCell="F106" sqref="F106"/>
    </sheetView>
  </sheetViews>
  <sheetFormatPr baseColWidth="10" defaultColWidth="9.140625" defaultRowHeight="12.75" x14ac:dyDescent="0.25"/>
  <cols>
    <col min="1" max="1" width="2.5703125" style="7" customWidth="1"/>
    <col min="2" max="2" width="12.85546875" style="12" customWidth="1"/>
    <col min="3" max="3" width="34" style="8" customWidth="1"/>
    <col min="4" max="4" width="29.85546875" style="8" customWidth="1"/>
    <col min="5" max="5" width="25.7109375" style="8" customWidth="1"/>
    <col min="6" max="6" width="22.28515625" style="9" customWidth="1"/>
    <col min="7" max="7" width="19.28515625" style="9" customWidth="1"/>
    <col min="8" max="8" width="17.140625" style="9" customWidth="1"/>
    <col min="9" max="9" width="17.140625" style="9" hidden="1" customWidth="1"/>
    <col min="10" max="10" width="20.42578125" style="9" hidden="1" customWidth="1"/>
    <col min="11" max="11" width="21.42578125" style="9" hidden="1" customWidth="1"/>
    <col min="12" max="12" width="16.7109375" style="9" customWidth="1"/>
    <col min="13" max="13" width="17.42578125" style="9" customWidth="1"/>
    <col min="14" max="14" width="13.7109375" style="9" hidden="1" customWidth="1"/>
    <col min="15" max="15" width="16" style="9" customWidth="1"/>
    <col min="16" max="16" width="19" style="9" customWidth="1"/>
    <col min="17" max="17" width="17.42578125" style="9" customWidth="1"/>
    <col min="18" max="18" width="17.5703125" style="9" hidden="1" customWidth="1"/>
    <col min="19" max="19" width="14" style="9" hidden="1" customWidth="1"/>
    <col min="20" max="20" width="11.28515625" style="9" hidden="1" customWidth="1"/>
    <col min="21" max="21" width="14.7109375" style="9" customWidth="1"/>
    <col min="22" max="22" width="13.28515625" style="9" customWidth="1"/>
    <col min="23" max="23" width="17.140625" style="9" customWidth="1"/>
    <col min="24" max="24" width="18.85546875" style="9" customWidth="1"/>
    <col min="25" max="25" width="18.42578125" style="9" customWidth="1"/>
    <col min="26" max="26" width="16.7109375" style="7" customWidth="1"/>
    <col min="27" max="27" width="22.42578125" style="7" customWidth="1"/>
    <col min="28" max="33" width="15.85546875" style="7" customWidth="1"/>
    <col min="34" max="16384" width="9.140625" style="7"/>
  </cols>
  <sheetData>
    <row r="1" spans="2:33" s="1" customFormat="1" ht="99.75" customHeight="1" x14ac:dyDescent="0.25">
      <c r="B1" s="81" t="s">
        <v>0</v>
      </c>
      <c r="C1" s="81" t="s">
        <v>1</v>
      </c>
      <c r="D1" s="81" t="s">
        <v>2</v>
      </c>
      <c r="E1" s="81" t="s">
        <v>3</v>
      </c>
      <c r="F1" s="82" t="s">
        <v>4</v>
      </c>
      <c r="G1" s="82" t="s">
        <v>5</v>
      </c>
      <c r="H1" s="82" t="s">
        <v>6</v>
      </c>
      <c r="I1" s="82" t="s">
        <v>7</v>
      </c>
      <c r="J1" s="82" t="s">
        <v>8</v>
      </c>
      <c r="K1" s="82" t="s">
        <v>9</v>
      </c>
      <c r="L1" s="82" t="s">
        <v>10</v>
      </c>
      <c r="M1" s="82" t="s">
        <v>11</v>
      </c>
      <c r="N1" s="82" t="s">
        <v>12</v>
      </c>
      <c r="O1" s="82" t="s">
        <v>13</v>
      </c>
      <c r="P1" s="82" t="s">
        <v>14</v>
      </c>
      <c r="Q1" s="82" t="s">
        <v>15</v>
      </c>
      <c r="R1" s="82" t="s">
        <v>16</v>
      </c>
      <c r="S1" s="82" t="s">
        <v>17</v>
      </c>
      <c r="T1" s="81" t="s">
        <v>18</v>
      </c>
      <c r="U1" s="82" t="s">
        <v>19</v>
      </c>
      <c r="V1" s="82" t="s">
        <v>20</v>
      </c>
      <c r="W1" s="83" t="s">
        <v>21</v>
      </c>
      <c r="X1" s="82" t="s">
        <v>22</v>
      </c>
      <c r="Y1" s="82" t="s">
        <v>23</v>
      </c>
      <c r="Z1" s="82" t="s">
        <v>24</v>
      </c>
      <c r="AA1" s="84" t="s">
        <v>25</v>
      </c>
      <c r="AB1" s="82" t="s">
        <v>26</v>
      </c>
      <c r="AC1" s="82" t="s">
        <v>27</v>
      </c>
      <c r="AD1" s="82" t="s">
        <v>28</v>
      </c>
      <c r="AE1" s="82" t="s">
        <v>29</v>
      </c>
      <c r="AF1" s="82" t="s">
        <v>30</v>
      </c>
      <c r="AG1" s="82" t="s">
        <v>31</v>
      </c>
    </row>
    <row r="2" spans="2:33" s="2" customFormat="1" ht="49.5" customHeight="1" x14ac:dyDescent="0.25">
      <c r="B2" s="30" t="s">
        <v>32</v>
      </c>
      <c r="C2" s="27" t="s">
        <v>33</v>
      </c>
      <c r="D2" s="27" t="s">
        <v>151</v>
      </c>
      <c r="E2" s="27" t="s">
        <v>35</v>
      </c>
      <c r="F2" s="28">
        <v>0</v>
      </c>
      <c r="G2" s="31">
        <v>1</v>
      </c>
      <c r="H2" s="28">
        <v>0</v>
      </c>
      <c r="I2" s="28">
        <v>0</v>
      </c>
      <c r="J2" s="28">
        <v>0</v>
      </c>
      <c r="K2" s="28">
        <v>0</v>
      </c>
      <c r="L2" s="28">
        <v>0</v>
      </c>
      <c r="M2" s="28">
        <v>0</v>
      </c>
      <c r="N2" s="28">
        <v>0</v>
      </c>
      <c r="O2" s="28">
        <v>0</v>
      </c>
      <c r="P2" s="28">
        <v>0</v>
      </c>
      <c r="Q2" s="28">
        <v>0</v>
      </c>
      <c r="R2" s="28">
        <v>0</v>
      </c>
      <c r="S2" s="28">
        <v>0</v>
      </c>
      <c r="T2" s="28">
        <v>0</v>
      </c>
      <c r="U2" s="28">
        <v>0</v>
      </c>
      <c r="V2" s="28">
        <v>0</v>
      </c>
      <c r="W2" s="28">
        <v>0</v>
      </c>
      <c r="X2" s="28">
        <v>0</v>
      </c>
      <c r="Y2" s="28">
        <v>0</v>
      </c>
      <c r="Z2" s="28">
        <v>0</v>
      </c>
      <c r="AB2" s="35">
        <v>19</v>
      </c>
      <c r="AC2" s="35">
        <v>2</v>
      </c>
      <c r="AD2" s="35">
        <v>1</v>
      </c>
      <c r="AE2" s="35">
        <v>1</v>
      </c>
      <c r="AF2" s="35">
        <v>1</v>
      </c>
      <c r="AG2" s="35">
        <v>2</v>
      </c>
    </row>
    <row r="3" spans="2:33" s="2" customFormat="1" ht="48" customHeight="1" x14ac:dyDescent="0.25">
      <c r="B3" s="29" t="s">
        <v>32</v>
      </c>
      <c r="C3" s="27" t="s">
        <v>34</v>
      </c>
      <c r="D3" s="27" t="s">
        <v>151</v>
      </c>
      <c r="E3" s="27" t="s">
        <v>35</v>
      </c>
      <c r="F3" s="28">
        <v>0</v>
      </c>
      <c r="G3" s="31">
        <v>3</v>
      </c>
      <c r="H3" s="28">
        <v>0</v>
      </c>
      <c r="I3" s="28">
        <v>0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0</v>
      </c>
      <c r="R3" s="28">
        <v>0</v>
      </c>
      <c r="S3" s="28">
        <v>0</v>
      </c>
      <c r="T3" s="28">
        <v>0</v>
      </c>
      <c r="U3" s="28">
        <v>0</v>
      </c>
      <c r="V3" s="28">
        <v>0</v>
      </c>
      <c r="W3" s="28">
        <v>0</v>
      </c>
      <c r="X3" s="28">
        <v>0</v>
      </c>
      <c r="Y3" s="28">
        <v>0</v>
      </c>
      <c r="Z3" s="28">
        <v>0</v>
      </c>
      <c r="AB3" s="32">
        <v>0</v>
      </c>
      <c r="AC3" s="32">
        <v>0</v>
      </c>
      <c r="AD3" s="32">
        <v>0</v>
      </c>
      <c r="AE3" s="32">
        <v>0</v>
      </c>
      <c r="AF3" s="32">
        <v>0</v>
      </c>
      <c r="AG3" s="32">
        <v>0</v>
      </c>
    </row>
    <row r="4" spans="2:33" s="2" customFormat="1" ht="48" customHeight="1" x14ac:dyDescent="0.25">
      <c r="B4" s="29" t="s">
        <v>32</v>
      </c>
      <c r="C4" s="27" t="s">
        <v>34</v>
      </c>
      <c r="D4" s="27" t="s">
        <v>150</v>
      </c>
      <c r="E4" s="27" t="s">
        <v>35</v>
      </c>
      <c r="F4" s="28">
        <v>0</v>
      </c>
      <c r="G4" s="31">
        <v>2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B4" s="32">
        <v>15</v>
      </c>
      <c r="AC4" s="32">
        <v>0</v>
      </c>
      <c r="AD4" s="35">
        <v>1</v>
      </c>
      <c r="AE4" s="35">
        <v>1</v>
      </c>
      <c r="AF4" s="32">
        <v>0</v>
      </c>
      <c r="AG4" s="35">
        <v>1</v>
      </c>
    </row>
    <row r="5" spans="2:33" s="2" customFormat="1" ht="49.5" customHeight="1" x14ac:dyDescent="0.25">
      <c r="B5" s="29" t="s">
        <v>32</v>
      </c>
      <c r="C5" s="27" t="s">
        <v>34</v>
      </c>
      <c r="D5" s="27" t="s">
        <v>178</v>
      </c>
      <c r="E5" s="27" t="s">
        <v>35</v>
      </c>
      <c r="F5" s="28">
        <v>0</v>
      </c>
      <c r="G5" s="31">
        <v>1</v>
      </c>
      <c r="H5" s="28">
        <v>0</v>
      </c>
      <c r="I5" s="28">
        <v>0</v>
      </c>
      <c r="J5" s="28">
        <v>0</v>
      </c>
      <c r="K5" s="28">
        <v>0</v>
      </c>
      <c r="L5" s="28">
        <v>0</v>
      </c>
      <c r="M5" s="28">
        <v>0</v>
      </c>
      <c r="N5" s="28">
        <v>0</v>
      </c>
      <c r="O5" s="28">
        <v>0</v>
      </c>
      <c r="P5" s="28">
        <v>0</v>
      </c>
      <c r="Q5" s="28">
        <v>0</v>
      </c>
      <c r="R5" s="28">
        <v>0</v>
      </c>
      <c r="S5" s="28">
        <v>0</v>
      </c>
      <c r="T5" s="28">
        <v>0</v>
      </c>
      <c r="U5" s="28">
        <v>0</v>
      </c>
      <c r="V5" s="28">
        <v>0</v>
      </c>
      <c r="W5" s="28">
        <v>0</v>
      </c>
      <c r="X5" s="28">
        <v>0</v>
      </c>
      <c r="Y5" s="28">
        <v>0</v>
      </c>
      <c r="Z5" s="28">
        <v>0</v>
      </c>
      <c r="AB5" s="32">
        <v>7</v>
      </c>
      <c r="AC5" s="32">
        <v>0</v>
      </c>
      <c r="AD5" s="35">
        <v>1</v>
      </c>
      <c r="AE5" s="35">
        <v>1</v>
      </c>
      <c r="AF5" s="32">
        <v>0</v>
      </c>
      <c r="AG5" s="35">
        <v>1</v>
      </c>
    </row>
    <row r="6" spans="2:33" s="2" customFormat="1" ht="49.5" customHeight="1" x14ac:dyDescent="0.25">
      <c r="B6" s="29" t="s">
        <v>32</v>
      </c>
      <c r="C6" s="27" t="s">
        <v>34</v>
      </c>
      <c r="D6" s="27" t="s">
        <v>144</v>
      </c>
      <c r="E6" s="27" t="s">
        <v>36</v>
      </c>
      <c r="F6" s="28">
        <v>0</v>
      </c>
      <c r="G6" s="31">
        <v>2</v>
      </c>
      <c r="H6" s="28">
        <v>0</v>
      </c>
      <c r="I6" s="28">
        <v>0</v>
      </c>
      <c r="J6" s="28">
        <v>0</v>
      </c>
      <c r="K6" s="28">
        <v>0</v>
      </c>
      <c r="L6" s="28">
        <v>0</v>
      </c>
      <c r="M6" s="28">
        <v>0</v>
      </c>
      <c r="N6" s="28">
        <v>0</v>
      </c>
      <c r="O6" s="28">
        <v>0</v>
      </c>
      <c r="P6" s="28">
        <v>0</v>
      </c>
      <c r="Q6" s="28">
        <v>0</v>
      </c>
      <c r="R6" s="28">
        <v>0</v>
      </c>
      <c r="S6" s="28">
        <v>0</v>
      </c>
      <c r="T6" s="28">
        <v>0</v>
      </c>
      <c r="U6" s="28">
        <v>0</v>
      </c>
      <c r="V6" s="28">
        <v>0</v>
      </c>
      <c r="W6" s="28">
        <v>0</v>
      </c>
      <c r="X6" s="31">
        <v>1</v>
      </c>
      <c r="Y6" s="28">
        <v>0</v>
      </c>
      <c r="Z6" s="28">
        <v>0</v>
      </c>
      <c r="AB6" s="32">
        <v>11</v>
      </c>
      <c r="AC6" s="32">
        <v>0</v>
      </c>
      <c r="AD6" s="35">
        <v>1</v>
      </c>
      <c r="AE6" s="35">
        <v>1</v>
      </c>
      <c r="AF6" s="32">
        <v>0</v>
      </c>
      <c r="AG6" s="35">
        <v>1</v>
      </c>
    </row>
    <row r="7" spans="2:33" s="2" customFormat="1" ht="48" customHeight="1" x14ac:dyDescent="0.25">
      <c r="B7" s="29" t="s">
        <v>32</v>
      </c>
      <c r="C7" s="27" t="s">
        <v>34</v>
      </c>
      <c r="D7" s="27" t="s">
        <v>145</v>
      </c>
      <c r="E7" s="27" t="s">
        <v>36</v>
      </c>
      <c r="F7" s="28">
        <v>0</v>
      </c>
      <c r="G7" s="31">
        <v>1</v>
      </c>
      <c r="H7" s="28">
        <v>0</v>
      </c>
      <c r="I7" s="28"/>
      <c r="J7" s="28"/>
      <c r="K7" s="28"/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B7" s="32">
        <v>0</v>
      </c>
      <c r="AC7" s="32">
        <v>0</v>
      </c>
      <c r="AD7" s="32">
        <v>0</v>
      </c>
      <c r="AE7" s="32">
        <v>0</v>
      </c>
      <c r="AF7" s="32">
        <v>0</v>
      </c>
      <c r="AG7" s="32">
        <v>0</v>
      </c>
    </row>
    <row r="8" spans="2:33" s="2" customFormat="1" ht="48" customHeight="1" x14ac:dyDescent="0.25">
      <c r="B8" s="29" t="s">
        <v>32</v>
      </c>
      <c r="C8" s="27" t="s">
        <v>34</v>
      </c>
      <c r="D8" s="27" t="s">
        <v>179</v>
      </c>
      <c r="E8" s="27" t="s">
        <v>37</v>
      </c>
      <c r="F8" s="28">
        <v>0</v>
      </c>
      <c r="G8" s="31">
        <v>2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0</v>
      </c>
      <c r="W8" s="28">
        <v>0</v>
      </c>
      <c r="X8" s="28">
        <v>0</v>
      </c>
      <c r="Y8" s="28">
        <v>0</v>
      </c>
      <c r="Z8" s="28">
        <v>0</v>
      </c>
      <c r="AB8" s="35">
        <v>16</v>
      </c>
      <c r="AC8" s="32">
        <v>0</v>
      </c>
      <c r="AD8" s="35">
        <v>1</v>
      </c>
      <c r="AE8" s="35">
        <v>1</v>
      </c>
      <c r="AF8" s="32">
        <v>0</v>
      </c>
      <c r="AG8" s="35">
        <v>3</v>
      </c>
    </row>
    <row r="9" spans="2:33" s="2" customFormat="1" ht="48" customHeight="1" x14ac:dyDescent="0.25">
      <c r="B9" s="29" t="s">
        <v>32</v>
      </c>
      <c r="C9" s="27" t="s">
        <v>34</v>
      </c>
      <c r="D9" s="27" t="s">
        <v>38</v>
      </c>
      <c r="E9" s="27" t="s">
        <v>37</v>
      </c>
      <c r="F9" s="28">
        <v>0</v>
      </c>
      <c r="G9" s="31">
        <v>2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58">
        <f>(AA11/30)*14</f>
        <v>116463772.39174853</v>
      </c>
      <c r="AB9" s="32">
        <v>0</v>
      </c>
      <c r="AC9" s="32">
        <v>0</v>
      </c>
      <c r="AD9" s="32">
        <v>0</v>
      </c>
      <c r="AE9" s="32">
        <v>0</v>
      </c>
      <c r="AF9" s="32">
        <v>0</v>
      </c>
      <c r="AG9" s="32">
        <v>0</v>
      </c>
    </row>
    <row r="10" spans="2:33" s="2" customFormat="1" ht="48" customHeight="1" x14ac:dyDescent="0.25">
      <c r="B10" s="29" t="s">
        <v>32</v>
      </c>
      <c r="C10" s="27" t="s">
        <v>34</v>
      </c>
      <c r="D10" s="27" t="s">
        <v>39</v>
      </c>
      <c r="E10" s="27" t="s">
        <v>40</v>
      </c>
      <c r="F10" s="28">
        <v>0</v>
      </c>
      <c r="G10" s="31">
        <v>1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B10" s="32">
        <v>0</v>
      </c>
      <c r="AC10" s="32">
        <v>0</v>
      </c>
      <c r="AD10" s="32">
        <v>0</v>
      </c>
      <c r="AE10" s="32">
        <v>0</v>
      </c>
      <c r="AF10" s="32">
        <v>0</v>
      </c>
      <c r="AG10" s="32">
        <v>0</v>
      </c>
    </row>
    <row r="11" spans="2:33" s="2" customFormat="1" ht="48" customHeight="1" x14ac:dyDescent="0.25">
      <c r="B11" s="29" t="s">
        <v>32</v>
      </c>
      <c r="C11" s="27" t="s">
        <v>34</v>
      </c>
      <c r="D11" s="27" t="s">
        <v>180</v>
      </c>
      <c r="E11" s="27" t="s">
        <v>40</v>
      </c>
      <c r="F11" s="28">
        <v>0</v>
      </c>
      <c r="G11" s="31">
        <v>2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58">
        <f>+(G12*G97)+(X12*X97)</f>
        <v>249565226.55374685</v>
      </c>
      <c r="AB11" s="35">
        <v>15</v>
      </c>
      <c r="AC11" s="32">
        <v>0</v>
      </c>
      <c r="AD11" s="35">
        <v>1</v>
      </c>
      <c r="AE11" s="35">
        <v>1</v>
      </c>
      <c r="AF11" s="32">
        <v>0</v>
      </c>
      <c r="AG11" s="35">
        <v>3</v>
      </c>
    </row>
    <row r="12" spans="2:33" s="53" customFormat="1" ht="19.5" customHeight="1" x14ac:dyDescent="0.25">
      <c r="B12" s="165" t="s">
        <v>41</v>
      </c>
      <c r="C12" s="165"/>
      <c r="D12" s="165"/>
      <c r="E12" s="165"/>
      <c r="F12" s="85">
        <f t="shared" ref="F12:Z12" si="0">SUM(F2:F11)</f>
        <v>0</v>
      </c>
      <c r="G12" s="85">
        <f t="shared" si="0"/>
        <v>17</v>
      </c>
      <c r="H12" s="85">
        <f t="shared" si="0"/>
        <v>0</v>
      </c>
      <c r="I12" s="85">
        <f t="shared" si="0"/>
        <v>0</v>
      </c>
      <c r="J12" s="85">
        <f t="shared" si="0"/>
        <v>0</v>
      </c>
      <c r="K12" s="85">
        <f t="shared" si="0"/>
        <v>0</v>
      </c>
      <c r="L12" s="85">
        <f t="shared" si="0"/>
        <v>0</v>
      </c>
      <c r="M12" s="85">
        <f t="shared" si="0"/>
        <v>0</v>
      </c>
      <c r="N12" s="85">
        <f t="shared" si="0"/>
        <v>0</v>
      </c>
      <c r="O12" s="85">
        <f t="shared" si="0"/>
        <v>0</v>
      </c>
      <c r="P12" s="85">
        <f t="shared" si="0"/>
        <v>0</v>
      </c>
      <c r="Q12" s="85">
        <f t="shared" si="0"/>
        <v>0</v>
      </c>
      <c r="R12" s="85">
        <f t="shared" si="0"/>
        <v>0</v>
      </c>
      <c r="S12" s="85">
        <f t="shared" si="0"/>
        <v>0</v>
      </c>
      <c r="T12" s="85">
        <f t="shared" si="0"/>
        <v>0</v>
      </c>
      <c r="U12" s="85">
        <f t="shared" si="0"/>
        <v>0</v>
      </c>
      <c r="V12" s="85">
        <f t="shared" si="0"/>
        <v>0</v>
      </c>
      <c r="W12" s="85">
        <f t="shared" si="0"/>
        <v>0</v>
      </c>
      <c r="X12" s="85">
        <f t="shared" si="0"/>
        <v>1</v>
      </c>
      <c r="Y12" s="85">
        <f t="shared" si="0"/>
        <v>0</v>
      </c>
      <c r="Z12" s="85">
        <f t="shared" si="0"/>
        <v>0</v>
      </c>
      <c r="AA12" s="86">
        <f>SUM(F12:Z12)</f>
        <v>18</v>
      </c>
      <c r="AB12" s="87">
        <f t="shared" ref="AB12:AG12" si="1">SUM(AB2:AB11)</f>
        <v>83</v>
      </c>
      <c r="AC12" s="87">
        <f t="shared" si="1"/>
        <v>2</v>
      </c>
      <c r="AD12" s="87">
        <f t="shared" si="1"/>
        <v>6</v>
      </c>
      <c r="AE12" s="87">
        <f t="shared" si="1"/>
        <v>6</v>
      </c>
      <c r="AF12" s="87">
        <f t="shared" si="1"/>
        <v>1</v>
      </c>
      <c r="AG12" s="87">
        <f t="shared" si="1"/>
        <v>11</v>
      </c>
    </row>
    <row r="13" spans="2:33" s="2" customFormat="1" ht="49.5" customHeight="1" x14ac:dyDescent="0.25">
      <c r="B13" s="30" t="s">
        <v>42</v>
      </c>
      <c r="C13" s="27" t="s">
        <v>43</v>
      </c>
      <c r="D13" s="27" t="s">
        <v>181</v>
      </c>
      <c r="E13" s="27" t="s">
        <v>45</v>
      </c>
      <c r="F13" s="28">
        <v>0</v>
      </c>
      <c r="G13" s="31">
        <v>1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32">
        <v>0</v>
      </c>
    </row>
    <row r="14" spans="2:33" s="2" customFormat="1" ht="48" customHeight="1" x14ac:dyDescent="0.25">
      <c r="B14" s="29" t="s">
        <v>42</v>
      </c>
      <c r="C14" s="27" t="s">
        <v>44</v>
      </c>
      <c r="D14" s="27" t="s">
        <v>181</v>
      </c>
      <c r="E14" s="27" t="s">
        <v>45</v>
      </c>
      <c r="F14" s="31">
        <v>1</v>
      </c>
      <c r="G14" s="31">
        <v>3</v>
      </c>
      <c r="H14" s="31">
        <v>1</v>
      </c>
      <c r="I14" s="28">
        <v>0</v>
      </c>
      <c r="J14" s="28">
        <v>0</v>
      </c>
      <c r="K14" s="28">
        <v>0</v>
      </c>
      <c r="L14" s="28">
        <v>0</v>
      </c>
      <c r="M14" s="31">
        <v>1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31">
        <v>1</v>
      </c>
      <c r="Z14" s="28">
        <v>0</v>
      </c>
      <c r="AB14" s="35">
        <v>58</v>
      </c>
      <c r="AC14" s="35">
        <v>2</v>
      </c>
      <c r="AD14" s="35">
        <v>2</v>
      </c>
      <c r="AE14" s="35">
        <v>2</v>
      </c>
      <c r="AF14" s="35">
        <v>1</v>
      </c>
      <c r="AG14" s="35">
        <v>5</v>
      </c>
    </row>
    <row r="15" spans="2:33" s="2" customFormat="1" ht="47.25" customHeight="1" x14ac:dyDescent="0.25">
      <c r="B15" s="101" t="s">
        <v>42</v>
      </c>
      <c r="C15" s="102" t="s">
        <v>46</v>
      </c>
      <c r="D15" s="102" t="s">
        <v>181</v>
      </c>
      <c r="E15" s="102" t="s">
        <v>45</v>
      </c>
      <c r="F15" s="103"/>
      <c r="G15" s="31"/>
      <c r="H15" s="31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4"/>
      <c r="AB15" s="35"/>
      <c r="AC15" s="32"/>
      <c r="AD15" s="32"/>
      <c r="AE15" s="32"/>
      <c r="AF15" s="32"/>
      <c r="AG15" s="32"/>
    </row>
    <row r="16" spans="2:33" s="2" customFormat="1" ht="48" customHeight="1" x14ac:dyDescent="0.25">
      <c r="B16" s="29" t="s">
        <v>42</v>
      </c>
      <c r="C16" s="27" t="s">
        <v>44</v>
      </c>
      <c r="D16" s="27" t="s">
        <v>152</v>
      </c>
      <c r="E16" s="27" t="s">
        <v>47</v>
      </c>
      <c r="F16" s="31">
        <v>3</v>
      </c>
      <c r="G16" s="31">
        <v>3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58">
        <f>(AA17/30)*14</f>
        <v>119686734.5628545</v>
      </c>
      <c r="AB16" s="35">
        <v>10</v>
      </c>
      <c r="AC16" s="32">
        <v>0</v>
      </c>
      <c r="AD16" s="35">
        <v>1</v>
      </c>
      <c r="AE16" s="35">
        <v>1</v>
      </c>
      <c r="AF16" s="32">
        <v>0</v>
      </c>
      <c r="AG16" s="35">
        <v>3</v>
      </c>
    </row>
    <row r="17" spans="2:34" s="2" customFormat="1" ht="48" customHeight="1" x14ac:dyDescent="0.25">
      <c r="B17" s="29" t="s">
        <v>42</v>
      </c>
      <c r="C17" s="27" t="s">
        <v>44</v>
      </c>
      <c r="D17" s="27" t="s">
        <v>146</v>
      </c>
      <c r="E17" s="27" t="s">
        <v>48</v>
      </c>
      <c r="F17" s="31">
        <v>2</v>
      </c>
      <c r="G17" s="31">
        <v>3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58">
        <f>+(F18*F97)+(G18*G97)+(H18*H97)+(M18*M97)+(P18*P97)+(Y18*Y97)</f>
        <v>256471574.06325963</v>
      </c>
      <c r="AB17" s="35">
        <v>10</v>
      </c>
      <c r="AC17" s="32">
        <v>0</v>
      </c>
      <c r="AD17" s="35">
        <v>1</v>
      </c>
      <c r="AE17" s="35">
        <v>1</v>
      </c>
      <c r="AF17" s="32">
        <v>0</v>
      </c>
      <c r="AG17" s="35">
        <v>3</v>
      </c>
    </row>
    <row r="18" spans="2:34" s="53" customFormat="1" ht="19.5" customHeight="1" x14ac:dyDescent="0.25">
      <c r="B18" s="165" t="s">
        <v>49</v>
      </c>
      <c r="C18" s="165"/>
      <c r="D18" s="165"/>
      <c r="E18" s="165"/>
      <c r="F18" s="85">
        <f t="shared" ref="F18:Z18" si="2">SUM(F13:F17)</f>
        <v>6</v>
      </c>
      <c r="G18" s="85">
        <f t="shared" si="2"/>
        <v>10</v>
      </c>
      <c r="H18" s="85">
        <f t="shared" si="2"/>
        <v>1</v>
      </c>
      <c r="I18" s="85">
        <f t="shared" si="2"/>
        <v>0</v>
      </c>
      <c r="J18" s="85">
        <f t="shared" si="2"/>
        <v>0</v>
      </c>
      <c r="K18" s="85">
        <f t="shared" si="2"/>
        <v>0</v>
      </c>
      <c r="L18" s="85">
        <f t="shared" si="2"/>
        <v>0</v>
      </c>
      <c r="M18" s="85">
        <f t="shared" si="2"/>
        <v>1</v>
      </c>
      <c r="N18" s="85">
        <f t="shared" si="2"/>
        <v>0</v>
      </c>
      <c r="O18" s="85">
        <f t="shared" si="2"/>
        <v>0</v>
      </c>
      <c r="P18" s="85">
        <f t="shared" si="2"/>
        <v>0</v>
      </c>
      <c r="Q18" s="85">
        <f t="shared" si="2"/>
        <v>0</v>
      </c>
      <c r="R18" s="85">
        <f t="shared" si="2"/>
        <v>0</v>
      </c>
      <c r="S18" s="85">
        <f t="shared" si="2"/>
        <v>0</v>
      </c>
      <c r="T18" s="85">
        <f t="shared" si="2"/>
        <v>0</v>
      </c>
      <c r="U18" s="85">
        <f t="shared" si="2"/>
        <v>0</v>
      </c>
      <c r="V18" s="85">
        <f t="shared" si="2"/>
        <v>0</v>
      </c>
      <c r="W18" s="85">
        <f t="shared" si="2"/>
        <v>0</v>
      </c>
      <c r="X18" s="85">
        <f t="shared" si="2"/>
        <v>0</v>
      </c>
      <c r="Y18" s="85">
        <f t="shared" si="2"/>
        <v>1</v>
      </c>
      <c r="Z18" s="85">
        <f t="shared" si="2"/>
        <v>0</v>
      </c>
      <c r="AA18" s="86">
        <f>SUM(F18:Z18)</f>
        <v>19</v>
      </c>
      <c r="AB18" s="87">
        <f>SUM(AB13:AB17)</f>
        <v>78</v>
      </c>
      <c r="AC18" s="87">
        <f t="shared" ref="AC18:AG18" si="3">SUM(AC13:AC17)</f>
        <v>2</v>
      </c>
      <c r="AD18" s="87">
        <f t="shared" si="3"/>
        <v>4</v>
      </c>
      <c r="AE18" s="87">
        <f t="shared" si="3"/>
        <v>4</v>
      </c>
      <c r="AF18" s="87">
        <f t="shared" si="3"/>
        <v>1</v>
      </c>
      <c r="AG18" s="87">
        <f t="shared" si="3"/>
        <v>11</v>
      </c>
    </row>
    <row r="19" spans="2:34" s="2" customFormat="1" ht="43.5" customHeight="1" x14ac:dyDescent="0.25">
      <c r="B19" s="30" t="s">
        <v>50</v>
      </c>
      <c r="C19" s="27" t="s">
        <v>33</v>
      </c>
      <c r="D19" s="27" t="s">
        <v>182</v>
      </c>
      <c r="E19" s="27" t="s">
        <v>52</v>
      </c>
      <c r="F19" s="28">
        <v>0</v>
      </c>
      <c r="G19" s="31">
        <v>1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B19" s="32">
        <v>0</v>
      </c>
      <c r="AC19" s="32">
        <v>0</v>
      </c>
      <c r="AD19" s="32">
        <v>0</v>
      </c>
      <c r="AE19" s="32">
        <v>0</v>
      </c>
      <c r="AF19" s="32">
        <v>0</v>
      </c>
      <c r="AG19" s="32">
        <v>0</v>
      </c>
    </row>
    <row r="20" spans="2:34" s="2" customFormat="1" ht="48" customHeight="1" x14ac:dyDescent="0.25">
      <c r="B20" s="29" t="s">
        <v>50</v>
      </c>
      <c r="C20" s="27" t="s">
        <v>195</v>
      </c>
      <c r="D20" s="27" t="s">
        <v>182</v>
      </c>
      <c r="E20" s="27" t="s">
        <v>52</v>
      </c>
      <c r="F20" s="28">
        <v>0</v>
      </c>
      <c r="G20" s="31">
        <v>4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31">
        <v>1</v>
      </c>
      <c r="R20" s="28">
        <v>0</v>
      </c>
      <c r="S20" s="28">
        <v>0</v>
      </c>
      <c r="T20" s="28">
        <v>0</v>
      </c>
      <c r="U20" s="28">
        <v>0</v>
      </c>
      <c r="V20" s="31">
        <v>1</v>
      </c>
      <c r="W20" s="28">
        <v>0</v>
      </c>
      <c r="X20" s="28">
        <v>0</v>
      </c>
      <c r="Y20" s="28">
        <v>0</v>
      </c>
      <c r="Z20" s="28">
        <v>0</v>
      </c>
      <c r="AB20" s="35">
        <v>18</v>
      </c>
      <c r="AC20" s="32">
        <v>0</v>
      </c>
      <c r="AD20" s="35">
        <v>2</v>
      </c>
      <c r="AE20" s="35">
        <v>2</v>
      </c>
      <c r="AF20" s="35">
        <v>1</v>
      </c>
      <c r="AG20" s="32">
        <v>0</v>
      </c>
    </row>
    <row r="21" spans="2:34" s="2" customFormat="1" ht="48" customHeight="1" x14ac:dyDescent="0.25">
      <c r="B21" s="29" t="s">
        <v>50</v>
      </c>
      <c r="C21" s="27" t="s">
        <v>195</v>
      </c>
      <c r="D21" s="27" t="s">
        <v>183</v>
      </c>
      <c r="E21" s="27" t="s">
        <v>121</v>
      </c>
      <c r="F21" s="28">
        <v>0</v>
      </c>
      <c r="G21" s="31">
        <v>1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B21" s="35">
        <v>8</v>
      </c>
      <c r="AC21" s="32">
        <v>0</v>
      </c>
      <c r="AD21" s="35">
        <v>1</v>
      </c>
      <c r="AE21" s="35">
        <v>1</v>
      </c>
      <c r="AF21" s="35">
        <v>1</v>
      </c>
      <c r="AG21" s="35">
        <v>1</v>
      </c>
    </row>
    <row r="22" spans="2:34" s="2" customFormat="1" ht="48" customHeight="1" x14ac:dyDescent="0.25">
      <c r="B22" s="29" t="s">
        <v>50</v>
      </c>
      <c r="C22" s="27" t="s">
        <v>195</v>
      </c>
      <c r="D22" s="27" t="s">
        <v>153</v>
      </c>
      <c r="E22" s="27" t="s">
        <v>123</v>
      </c>
      <c r="F22" s="28">
        <v>0</v>
      </c>
      <c r="G22" s="31">
        <v>1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B22" s="35">
        <v>8</v>
      </c>
      <c r="AC22" s="32">
        <v>0</v>
      </c>
      <c r="AD22" s="35">
        <v>1</v>
      </c>
      <c r="AE22" s="35">
        <v>1</v>
      </c>
      <c r="AF22" s="35">
        <v>1</v>
      </c>
      <c r="AG22" s="35">
        <v>1</v>
      </c>
    </row>
    <row r="23" spans="2:34" s="2" customFormat="1" ht="43.5" customHeight="1" x14ac:dyDescent="0.25">
      <c r="B23" s="30" t="s">
        <v>50</v>
      </c>
      <c r="C23" s="27" t="s">
        <v>51</v>
      </c>
      <c r="D23" s="27" t="s">
        <v>53</v>
      </c>
      <c r="E23" s="27" t="s">
        <v>52</v>
      </c>
      <c r="F23" s="28">
        <v>0</v>
      </c>
      <c r="G23" s="31">
        <v>3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/>
      <c r="N23" s="28">
        <v>0</v>
      </c>
      <c r="O23" s="28">
        <v>0</v>
      </c>
      <c r="P23" s="28">
        <v>0</v>
      </c>
      <c r="Q23" s="31">
        <v>1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B23" s="35">
        <v>22</v>
      </c>
      <c r="AC23" s="32">
        <v>0</v>
      </c>
      <c r="AD23" s="35">
        <v>2</v>
      </c>
      <c r="AE23" s="35">
        <v>2</v>
      </c>
      <c r="AF23" s="35">
        <v>1</v>
      </c>
      <c r="AG23" s="32">
        <v>0</v>
      </c>
    </row>
    <row r="24" spans="2:34" s="2" customFormat="1" ht="48" customHeight="1" x14ac:dyDescent="0.25">
      <c r="B24" s="29" t="s">
        <v>50</v>
      </c>
      <c r="C24" s="27" t="s">
        <v>54</v>
      </c>
      <c r="D24" s="27" t="s">
        <v>154</v>
      </c>
      <c r="E24" s="27" t="s">
        <v>121</v>
      </c>
      <c r="F24" s="28">
        <v>0</v>
      </c>
      <c r="G24" s="31">
        <v>3</v>
      </c>
      <c r="H24" s="28">
        <v>0</v>
      </c>
      <c r="I24" s="28">
        <v>0</v>
      </c>
      <c r="J24" s="28">
        <v>0</v>
      </c>
      <c r="K24" s="28">
        <v>0</v>
      </c>
      <c r="L24" s="31">
        <v>1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B24" s="35">
        <v>12</v>
      </c>
      <c r="AC24" s="32">
        <v>0</v>
      </c>
      <c r="AD24" s="35">
        <v>1</v>
      </c>
      <c r="AE24" s="35">
        <v>1</v>
      </c>
      <c r="AF24" s="32">
        <v>0</v>
      </c>
      <c r="AG24" s="32">
        <v>0</v>
      </c>
    </row>
    <row r="25" spans="2:34" s="2" customFormat="1" ht="48" customHeight="1" x14ac:dyDescent="0.25">
      <c r="B25" s="29" t="s">
        <v>50</v>
      </c>
      <c r="C25" s="27" t="s">
        <v>54</v>
      </c>
      <c r="D25" s="27" t="s">
        <v>147</v>
      </c>
      <c r="E25" s="27" t="s">
        <v>121</v>
      </c>
      <c r="F25" s="28">
        <v>0</v>
      </c>
      <c r="G25" s="31">
        <v>2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31">
        <v>1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B25" s="32">
        <v>0</v>
      </c>
      <c r="AC25" s="32">
        <v>0</v>
      </c>
      <c r="AD25" s="32">
        <v>0</v>
      </c>
      <c r="AE25" s="32">
        <v>0</v>
      </c>
      <c r="AF25" s="32">
        <v>0</v>
      </c>
      <c r="AG25" s="32">
        <v>0</v>
      </c>
    </row>
    <row r="26" spans="2:34" s="2" customFormat="1" ht="48" customHeight="1" x14ac:dyDescent="0.25">
      <c r="B26" s="29" t="s">
        <v>50</v>
      </c>
      <c r="C26" s="27" t="s">
        <v>54</v>
      </c>
      <c r="D26" s="27" t="s">
        <v>148</v>
      </c>
      <c r="E26" s="27" t="s">
        <v>124</v>
      </c>
      <c r="F26" s="28">
        <v>0</v>
      </c>
      <c r="G26" s="31">
        <v>1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B26" s="35">
        <v>6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</row>
    <row r="27" spans="2:34" s="2" customFormat="1" ht="49.5" customHeight="1" x14ac:dyDescent="0.25">
      <c r="B27" s="30" t="s">
        <v>50</v>
      </c>
      <c r="C27" s="27" t="s">
        <v>55</v>
      </c>
      <c r="D27" s="27" t="s">
        <v>184</v>
      </c>
      <c r="E27" s="27" t="s">
        <v>56</v>
      </c>
      <c r="F27" s="28">
        <v>0</v>
      </c>
      <c r="G27" s="31">
        <v>2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B27" s="35">
        <v>14</v>
      </c>
      <c r="AC27" s="32">
        <v>0</v>
      </c>
      <c r="AD27" s="35">
        <v>1</v>
      </c>
      <c r="AE27" s="35">
        <v>1</v>
      </c>
      <c r="AF27" s="32">
        <v>0</v>
      </c>
      <c r="AG27" s="35">
        <v>1</v>
      </c>
    </row>
    <row r="28" spans="2:34" s="2" customFormat="1" ht="49.5" customHeight="1" x14ac:dyDescent="0.25">
      <c r="B28" s="30" t="s">
        <v>50</v>
      </c>
      <c r="C28" s="27" t="s">
        <v>55</v>
      </c>
      <c r="D28" s="27" t="s">
        <v>185</v>
      </c>
      <c r="E28" s="27" t="s">
        <v>56</v>
      </c>
      <c r="F28" s="28">
        <v>0</v>
      </c>
      <c r="G28" s="31">
        <v>2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B28" s="35">
        <v>6</v>
      </c>
      <c r="AC28" s="35">
        <v>2</v>
      </c>
      <c r="AD28" s="35">
        <v>1</v>
      </c>
      <c r="AE28" s="35">
        <v>1</v>
      </c>
      <c r="AF28" s="32">
        <v>0</v>
      </c>
      <c r="AG28" s="35">
        <v>1</v>
      </c>
    </row>
    <row r="29" spans="2:34" s="2" customFormat="1" ht="49.5" customHeight="1" x14ac:dyDescent="0.25">
      <c r="B29" s="30" t="s">
        <v>50</v>
      </c>
      <c r="C29" s="27" t="s">
        <v>55</v>
      </c>
      <c r="D29" s="27" t="s">
        <v>186</v>
      </c>
      <c r="E29" s="27" t="s">
        <v>56</v>
      </c>
      <c r="F29" s="28">
        <v>0</v>
      </c>
      <c r="G29" s="31">
        <v>1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B29" s="35">
        <v>6</v>
      </c>
      <c r="AC29" s="35">
        <v>2</v>
      </c>
      <c r="AD29" s="35">
        <v>1</v>
      </c>
      <c r="AE29" s="35">
        <v>1</v>
      </c>
      <c r="AF29" s="32">
        <v>0</v>
      </c>
      <c r="AG29" s="35">
        <v>1</v>
      </c>
    </row>
    <row r="30" spans="2:34" s="2" customFormat="1" ht="49.5" customHeight="1" x14ac:dyDescent="0.25">
      <c r="B30" s="30" t="s">
        <v>50</v>
      </c>
      <c r="C30" s="27" t="s">
        <v>55</v>
      </c>
      <c r="D30" s="27" t="s">
        <v>171</v>
      </c>
      <c r="E30" s="27" t="s">
        <v>56</v>
      </c>
      <c r="F30" s="28">
        <v>0</v>
      </c>
      <c r="G30" s="31">
        <v>1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58">
        <f>(AA32/30)*14</f>
        <v>176762750.06073403</v>
      </c>
      <c r="AB30" s="35">
        <v>4</v>
      </c>
      <c r="AC30" s="35">
        <v>2</v>
      </c>
      <c r="AD30" s="32">
        <v>0</v>
      </c>
      <c r="AE30" s="32">
        <v>0</v>
      </c>
      <c r="AF30" s="32">
        <v>0</v>
      </c>
      <c r="AG30" s="32">
        <v>0</v>
      </c>
      <c r="AH30" s="32"/>
    </row>
    <row r="31" spans="2:34" s="2" customFormat="1" ht="49.5" customHeight="1" x14ac:dyDescent="0.25">
      <c r="B31" s="30" t="s">
        <v>50</v>
      </c>
      <c r="C31" s="27" t="s">
        <v>57</v>
      </c>
      <c r="D31" s="27" t="s">
        <v>187</v>
      </c>
      <c r="E31" s="27" t="s">
        <v>125</v>
      </c>
      <c r="F31" s="28">
        <v>0</v>
      </c>
      <c r="G31" s="31">
        <v>1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58"/>
      <c r="AB31" s="35">
        <v>6</v>
      </c>
      <c r="AC31" s="32">
        <v>0</v>
      </c>
      <c r="AD31" s="35">
        <v>1</v>
      </c>
      <c r="AE31" s="35">
        <v>1</v>
      </c>
      <c r="AF31" s="32">
        <v>0</v>
      </c>
      <c r="AG31" s="35">
        <v>1</v>
      </c>
    </row>
    <row r="32" spans="2:34" s="2" customFormat="1" ht="49.5" customHeight="1" x14ac:dyDescent="0.25">
      <c r="B32" s="30" t="s">
        <v>50</v>
      </c>
      <c r="C32" s="27" t="s">
        <v>57</v>
      </c>
      <c r="D32" s="27" t="s">
        <v>149</v>
      </c>
      <c r="E32" s="27" t="s">
        <v>126</v>
      </c>
      <c r="F32" s="28">
        <v>0</v>
      </c>
      <c r="G32" s="31">
        <v>1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58">
        <f>+(G33*G97)+(L33*L97)+(O33*O97)+(Q33*Q97)+(V33*V97)</f>
        <v>378777321.55871582</v>
      </c>
      <c r="AB32" s="35">
        <v>6</v>
      </c>
      <c r="AC32" s="32">
        <v>0</v>
      </c>
      <c r="AD32" s="35">
        <v>1</v>
      </c>
      <c r="AE32" s="35">
        <v>1</v>
      </c>
      <c r="AF32" s="32">
        <v>0</v>
      </c>
      <c r="AG32" s="35">
        <v>1</v>
      </c>
    </row>
    <row r="33" spans="2:33" s="53" customFormat="1" ht="19.5" customHeight="1" x14ac:dyDescent="0.25">
      <c r="B33" s="165" t="s">
        <v>58</v>
      </c>
      <c r="C33" s="165"/>
      <c r="D33" s="165"/>
      <c r="E33" s="165"/>
      <c r="F33" s="85">
        <f t="shared" ref="F33:Z33" si="4">SUM(F19:F32)</f>
        <v>0</v>
      </c>
      <c r="G33" s="85">
        <f t="shared" si="4"/>
        <v>24</v>
      </c>
      <c r="H33" s="85">
        <f t="shared" si="4"/>
        <v>0</v>
      </c>
      <c r="I33" s="85">
        <f t="shared" si="4"/>
        <v>0</v>
      </c>
      <c r="J33" s="85">
        <f t="shared" si="4"/>
        <v>0</v>
      </c>
      <c r="K33" s="85">
        <f t="shared" si="4"/>
        <v>0</v>
      </c>
      <c r="L33" s="85">
        <f t="shared" si="4"/>
        <v>1</v>
      </c>
      <c r="M33" s="85">
        <f t="shared" si="4"/>
        <v>0</v>
      </c>
      <c r="N33" s="85">
        <f t="shared" si="4"/>
        <v>0</v>
      </c>
      <c r="O33" s="85">
        <f t="shared" si="4"/>
        <v>1</v>
      </c>
      <c r="P33" s="85">
        <f t="shared" si="4"/>
        <v>0</v>
      </c>
      <c r="Q33" s="85">
        <f t="shared" si="4"/>
        <v>2</v>
      </c>
      <c r="R33" s="85">
        <f t="shared" si="4"/>
        <v>0</v>
      </c>
      <c r="S33" s="85">
        <f t="shared" si="4"/>
        <v>0</v>
      </c>
      <c r="T33" s="85">
        <f t="shared" si="4"/>
        <v>0</v>
      </c>
      <c r="U33" s="85">
        <f t="shared" si="4"/>
        <v>0</v>
      </c>
      <c r="V33" s="85">
        <f t="shared" si="4"/>
        <v>1</v>
      </c>
      <c r="W33" s="85">
        <f t="shared" si="4"/>
        <v>0</v>
      </c>
      <c r="X33" s="85">
        <f t="shared" si="4"/>
        <v>0</v>
      </c>
      <c r="Y33" s="85">
        <f t="shared" si="4"/>
        <v>0</v>
      </c>
      <c r="Z33" s="85">
        <f t="shared" si="4"/>
        <v>0</v>
      </c>
      <c r="AA33" s="86">
        <f>SUM(F33:Z33)</f>
        <v>29</v>
      </c>
      <c r="AB33" s="87">
        <f t="shared" ref="AB33:AG33" si="5">SUM(AB19:AB32)</f>
        <v>116</v>
      </c>
      <c r="AC33" s="87">
        <f t="shared" si="5"/>
        <v>6</v>
      </c>
      <c r="AD33" s="87">
        <f t="shared" si="5"/>
        <v>12</v>
      </c>
      <c r="AE33" s="87">
        <f t="shared" si="5"/>
        <v>12</v>
      </c>
      <c r="AF33" s="87">
        <f t="shared" si="5"/>
        <v>4</v>
      </c>
      <c r="AG33" s="87">
        <f t="shared" si="5"/>
        <v>7</v>
      </c>
    </row>
    <row r="34" spans="2:33" s="2" customFormat="1" ht="48" customHeight="1" x14ac:dyDescent="0.25">
      <c r="B34" s="29" t="s">
        <v>59</v>
      </c>
      <c r="C34" s="27" t="s">
        <v>43</v>
      </c>
      <c r="D34" s="27" t="s">
        <v>60</v>
      </c>
      <c r="E34" s="27" t="s">
        <v>61</v>
      </c>
      <c r="F34" s="28">
        <v>0</v>
      </c>
      <c r="G34" s="31">
        <v>0</v>
      </c>
      <c r="H34" s="31">
        <v>1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B34" s="32">
        <v>0</v>
      </c>
      <c r="AC34" s="32">
        <v>0</v>
      </c>
      <c r="AD34" s="32">
        <v>0</v>
      </c>
      <c r="AE34" s="32">
        <v>0</v>
      </c>
      <c r="AF34" s="32">
        <v>0</v>
      </c>
      <c r="AG34" s="32">
        <v>0</v>
      </c>
    </row>
    <row r="35" spans="2:33" s="2" customFormat="1" ht="48" customHeight="1" x14ac:dyDescent="0.25">
      <c r="B35" s="29" t="s">
        <v>59</v>
      </c>
      <c r="C35" s="27" t="s">
        <v>43</v>
      </c>
      <c r="D35" s="27" t="s">
        <v>62</v>
      </c>
      <c r="E35" s="27" t="s">
        <v>61</v>
      </c>
      <c r="F35" s="28">
        <v>0</v>
      </c>
      <c r="G35" s="31">
        <v>1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31">
        <v>1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31">
        <v>1</v>
      </c>
      <c r="Z35" s="28">
        <v>0</v>
      </c>
      <c r="AB35" s="32">
        <v>0</v>
      </c>
      <c r="AC35" s="32">
        <v>0</v>
      </c>
      <c r="AD35" s="32">
        <v>0</v>
      </c>
      <c r="AE35" s="32">
        <v>0</v>
      </c>
      <c r="AF35" s="32">
        <v>0</v>
      </c>
      <c r="AG35" s="32">
        <v>0</v>
      </c>
    </row>
    <row r="36" spans="2:33" s="2" customFormat="1" ht="48" customHeight="1" x14ac:dyDescent="0.25">
      <c r="B36" s="29" t="s">
        <v>59</v>
      </c>
      <c r="C36" s="27" t="s">
        <v>43</v>
      </c>
      <c r="D36" s="27" t="s">
        <v>63</v>
      </c>
      <c r="E36" s="27" t="s">
        <v>61</v>
      </c>
      <c r="F36" s="28">
        <v>0</v>
      </c>
      <c r="G36" s="31">
        <v>2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B36" s="35">
        <v>25</v>
      </c>
      <c r="AC36" s="35">
        <v>2</v>
      </c>
      <c r="AD36" s="35">
        <v>3</v>
      </c>
      <c r="AE36" s="35">
        <v>1</v>
      </c>
      <c r="AF36" s="32">
        <v>0</v>
      </c>
      <c r="AG36" s="32">
        <v>0</v>
      </c>
    </row>
    <row r="37" spans="2:33" s="2" customFormat="1" ht="48" customHeight="1" x14ac:dyDescent="0.25">
      <c r="B37" s="29" t="s">
        <v>59</v>
      </c>
      <c r="C37" s="27" t="s">
        <v>43</v>
      </c>
      <c r="D37" s="27" t="s">
        <v>64</v>
      </c>
      <c r="E37" s="27" t="s">
        <v>61</v>
      </c>
      <c r="F37" s="28">
        <v>0</v>
      </c>
      <c r="G37" s="31">
        <v>1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B37" s="35">
        <v>10</v>
      </c>
      <c r="AC37" s="35">
        <v>2</v>
      </c>
      <c r="AD37" s="32">
        <v>0</v>
      </c>
      <c r="AE37" s="32">
        <v>0</v>
      </c>
      <c r="AF37" s="32">
        <v>0</v>
      </c>
      <c r="AG37" s="32">
        <v>0</v>
      </c>
    </row>
    <row r="38" spans="2:33" s="2" customFormat="1" ht="48" customHeight="1" x14ac:dyDescent="0.25">
      <c r="B38" s="29" t="s">
        <v>59</v>
      </c>
      <c r="C38" s="27" t="s">
        <v>43</v>
      </c>
      <c r="D38" s="27" t="s">
        <v>65</v>
      </c>
      <c r="E38" s="27" t="s">
        <v>61</v>
      </c>
      <c r="F38" s="28"/>
      <c r="G38" s="31">
        <v>1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B38" s="32">
        <v>0</v>
      </c>
      <c r="AC38" s="32">
        <v>0</v>
      </c>
      <c r="AD38" s="32">
        <v>0</v>
      </c>
      <c r="AE38" s="32">
        <v>0</v>
      </c>
      <c r="AF38" s="32">
        <v>0</v>
      </c>
      <c r="AG38" s="32">
        <v>0</v>
      </c>
    </row>
    <row r="39" spans="2:33" s="2" customFormat="1" ht="49.5" customHeight="1" x14ac:dyDescent="0.25">
      <c r="B39" s="29" t="s">
        <v>59</v>
      </c>
      <c r="C39" s="27" t="s">
        <v>66</v>
      </c>
      <c r="D39" s="27" t="s">
        <v>67</v>
      </c>
      <c r="E39" s="27" t="s">
        <v>61</v>
      </c>
      <c r="F39" s="28">
        <v>0</v>
      </c>
      <c r="G39" s="31">
        <v>3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31">
        <v>1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B39" s="35">
        <v>13</v>
      </c>
      <c r="AC39" s="35">
        <v>1</v>
      </c>
      <c r="AD39" s="32">
        <v>0</v>
      </c>
      <c r="AE39" s="32">
        <v>0</v>
      </c>
      <c r="AF39" s="32">
        <v>0</v>
      </c>
      <c r="AG39" s="35">
        <v>2</v>
      </c>
    </row>
    <row r="40" spans="2:33" s="2" customFormat="1" ht="49.5" customHeight="1" x14ac:dyDescent="0.25">
      <c r="B40" s="29" t="s">
        <v>59</v>
      </c>
      <c r="C40" s="27" t="s">
        <v>66</v>
      </c>
      <c r="D40" s="27" t="s">
        <v>68</v>
      </c>
      <c r="E40" s="27" t="s">
        <v>61</v>
      </c>
      <c r="F40" s="28">
        <v>0</v>
      </c>
      <c r="G40" s="31">
        <v>1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31">
        <v>1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B40" s="35">
        <v>11</v>
      </c>
      <c r="AC40" s="32">
        <v>0</v>
      </c>
      <c r="AD40" s="32">
        <v>0</v>
      </c>
      <c r="AE40" s="32">
        <v>0</v>
      </c>
      <c r="AF40" s="32">
        <v>0</v>
      </c>
      <c r="AG40" s="35">
        <v>3</v>
      </c>
    </row>
    <row r="41" spans="2:33" s="2" customFormat="1" ht="49.5" customHeight="1" x14ac:dyDescent="0.25">
      <c r="B41" s="29" t="s">
        <v>59</v>
      </c>
      <c r="C41" s="27" t="s">
        <v>66</v>
      </c>
      <c r="D41" s="27" t="s">
        <v>69</v>
      </c>
      <c r="E41" s="27" t="s">
        <v>61</v>
      </c>
      <c r="F41" s="28">
        <v>0</v>
      </c>
      <c r="G41" s="31">
        <v>2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B41" s="35">
        <v>9</v>
      </c>
      <c r="AC41" s="35">
        <v>1</v>
      </c>
      <c r="AD41" s="35">
        <v>1</v>
      </c>
      <c r="AE41" s="35">
        <v>1</v>
      </c>
      <c r="AF41" s="32">
        <v>0</v>
      </c>
      <c r="AG41" s="35">
        <v>4</v>
      </c>
    </row>
    <row r="42" spans="2:33" s="2" customFormat="1" ht="49.5" customHeight="1" x14ac:dyDescent="0.25">
      <c r="B42" s="29" t="s">
        <v>59</v>
      </c>
      <c r="C42" s="27" t="s">
        <v>66</v>
      </c>
      <c r="D42" s="27" t="s">
        <v>188</v>
      </c>
      <c r="E42" s="27" t="s">
        <v>61</v>
      </c>
      <c r="F42" s="28">
        <v>0</v>
      </c>
      <c r="G42" s="31">
        <v>3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B42" s="35">
        <v>11</v>
      </c>
      <c r="AC42" s="35">
        <v>1</v>
      </c>
      <c r="AD42" s="35">
        <v>1</v>
      </c>
      <c r="AE42" s="35">
        <v>1</v>
      </c>
      <c r="AF42" s="32">
        <v>0</v>
      </c>
      <c r="AG42" s="35">
        <v>3</v>
      </c>
    </row>
    <row r="43" spans="2:33" s="2" customFormat="1" ht="49.5" customHeight="1" x14ac:dyDescent="0.25">
      <c r="B43" s="29" t="s">
        <v>59</v>
      </c>
      <c r="C43" s="27" t="s">
        <v>66</v>
      </c>
      <c r="D43" s="27" t="s">
        <v>189</v>
      </c>
      <c r="E43" s="27" t="s">
        <v>70</v>
      </c>
      <c r="F43" s="28">
        <v>0</v>
      </c>
      <c r="G43" s="31">
        <v>2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B43" s="35">
        <v>13</v>
      </c>
      <c r="AC43" s="35">
        <v>1</v>
      </c>
      <c r="AD43" s="35">
        <v>1</v>
      </c>
      <c r="AE43" s="35">
        <v>1</v>
      </c>
      <c r="AF43" s="32">
        <v>0</v>
      </c>
      <c r="AG43" s="35">
        <v>2</v>
      </c>
    </row>
    <row r="44" spans="2:33" s="2" customFormat="1" ht="49.5" customHeight="1" x14ac:dyDescent="0.25">
      <c r="B44" s="29" t="s">
        <v>59</v>
      </c>
      <c r="C44" s="27" t="s">
        <v>66</v>
      </c>
      <c r="D44" s="27" t="s">
        <v>190</v>
      </c>
      <c r="E44" s="27" t="s">
        <v>71</v>
      </c>
      <c r="F44" s="28">
        <v>0</v>
      </c>
      <c r="G44" s="31">
        <v>1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B44" s="35">
        <v>8</v>
      </c>
      <c r="AC44" s="35">
        <v>1</v>
      </c>
      <c r="AD44" s="35">
        <v>1</v>
      </c>
      <c r="AE44" s="35">
        <v>1</v>
      </c>
      <c r="AF44" s="32">
        <v>0</v>
      </c>
      <c r="AG44" s="35">
        <v>1</v>
      </c>
    </row>
    <row r="45" spans="2:33" s="2" customFormat="1" ht="49.5" customHeight="1" x14ac:dyDescent="0.25">
      <c r="B45" s="29" t="s">
        <v>59</v>
      </c>
      <c r="C45" s="27" t="s">
        <v>66</v>
      </c>
      <c r="D45" s="27" t="s">
        <v>72</v>
      </c>
      <c r="E45" s="27" t="s">
        <v>73</v>
      </c>
      <c r="F45" s="28">
        <v>0</v>
      </c>
      <c r="G45" s="31">
        <v>1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</row>
    <row r="46" spans="2:33" s="2" customFormat="1" ht="43.5" customHeight="1" x14ac:dyDescent="0.25">
      <c r="B46" s="29" t="s">
        <v>59</v>
      </c>
      <c r="C46" s="27" t="s">
        <v>155</v>
      </c>
      <c r="D46" s="27" t="s">
        <v>191</v>
      </c>
      <c r="E46" s="27" t="s">
        <v>71</v>
      </c>
      <c r="F46" s="28">
        <v>0</v>
      </c>
      <c r="G46" s="31">
        <v>2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58">
        <f>(AA48/30)*14</f>
        <v>197366586.13800162</v>
      </c>
      <c r="AB46" s="35">
        <v>8</v>
      </c>
      <c r="AC46" s="35">
        <v>1</v>
      </c>
      <c r="AD46" s="35">
        <v>1</v>
      </c>
      <c r="AE46" s="35">
        <v>1</v>
      </c>
      <c r="AF46" s="32">
        <v>0</v>
      </c>
      <c r="AG46" s="35">
        <v>3</v>
      </c>
    </row>
    <row r="47" spans="2:33" s="2" customFormat="1" ht="43.5" customHeight="1" x14ac:dyDescent="0.25">
      <c r="B47" s="29" t="s">
        <v>59</v>
      </c>
      <c r="C47" s="27" t="s">
        <v>155</v>
      </c>
      <c r="D47" s="27" t="s">
        <v>172</v>
      </c>
      <c r="E47" s="27" t="s">
        <v>61</v>
      </c>
      <c r="F47" s="28">
        <v>0</v>
      </c>
      <c r="G47" s="31">
        <v>3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32">
        <v>0</v>
      </c>
    </row>
    <row r="48" spans="2:33" s="2" customFormat="1" ht="43.5" customHeight="1" x14ac:dyDescent="0.25">
      <c r="B48" s="29" t="s">
        <v>59</v>
      </c>
      <c r="C48" s="27" t="s">
        <v>155</v>
      </c>
      <c r="D48" s="27" t="s">
        <v>173</v>
      </c>
      <c r="E48" s="27" t="s">
        <v>127</v>
      </c>
      <c r="F48" s="28">
        <v>0</v>
      </c>
      <c r="G48" s="31">
        <v>4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58">
        <f>+(G49*G97)+(H49*H97)+(P49*P97)+(Q49*Q97)+(Y49*Y97)</f>
        <v>422928398.86714637</v>
      </c>
      <c r="AB48" s="32">
        <v>0</v>
      </c>
      <c r="AC48" s="32">
        <v>0</v>
      </c>
      <c r="AD48" s="32">
        <v>0</v>
      </c>
      <c r="AE48" s="32">
        <v>0</v>
      </c>
      <c r="AF48" s="32">
        <v>0</v>
      </c>
      <c r="AG48" s="32">
        <v>0</v>
      </c>
    </row>
    <row r="49" spans="2:33" s="53" customFormat="1" ht="19.5" customHeight="1" x14ac:dyDescent="0.25">
      <c r="B49" s="165" t="s">
        <v>74</v>
      </c>
      <c r="C49" s="165"/>
      <c r="D49" s="165"/>
      <c r="E49" s="165"/>
      <c r="F49" s="85">
        <f t="shared" ref="F49:Z49" si="6">SUM(F34:F48)</f>
        <v>0</v>
      </c>
      <c r="G49" s="85">
        <f t="shared" si="6"/>
        <v>27</v>
      </c>
      <c r="H49" s="85">
        <f t="shared" si="6"/>
        <v>1</v>
      </c>
      <c r="I49" s="85">
        <f t="shared" si="6"/>
        <v>0</v>
      </c>
      <c r="J49" s="85">
        <f t="shared" si="6"/>
        <v>0</v>
      </c>
      <c r="K49" s="85">
        <f t="shared" si="6"/>
        <v>0</v>
      </c>
      <c r="L49" s="85">
        <f t="shared" si="6"/>
        <v>0</v>
      </c>
      <c r="M49" s="85">
        <f t="shared" si="6"/>
        <v>0</v>
      </c>
      <c r="N49" s="85">
        <f t="shared" si="6"/>
        <v>0</v>
      </c>
      <c r="O49" s="85">
        <f t="shared" si="6"/>
        <v>0</v>
      </c>
      <c r="P49" s="85">
        <f t="shared" si="6"/>
        <v>1</v>
      </c>
      <c r="Q49" s="85">
        <f t="shared" si="6"/>
        <v>2</v>
      </c>
      <c r="R49" s="85">
        <f t="shared" si="6"/>
        <v>0</v>
      </c>
      <c r="S49" s="85">
        <f t="shared" si="6"/>
        <v>0</v>
      </c>
      <c r="T49" s="85">
        <f t="shared" si="6"/>
        <v>0</v>
      </c>
      <c r="U49" s="85">
        <f t="shared" si="6"/>
        <v>0</v>
      </c>
      <c r="V49" s="85">
        <f t="shared" si="6"/>
        <v>0</v>
      </c>
      <c r="W49" s="85">
        <f t="shared" si="6"/>
        <v>0</v>
      </c>
      <c r="X49" s="85">
        <f t="shared" si="6"/>
        <v>0</v>
      </c>
      <c r="Y49" s="85">
        <f t="shared" si="6"/>
        <v>1</v>
      </c>
      <c r="Z49" s="85">
        <f t="shared" si="6"/>
        <v>0</v>
      </c>
      <c r="AA49" s="86">
        <f>SUM(F49:Z49)</f>
        <v>32</v>
      </c>
      <c r="AB49" s="87">
        <f>SUM(AB34:AB48)</f>
        <v>108</v>
      </c>
      <c r="AC49" s="87">
        <f t="shared" ref="AC49:AG49" si="7">SUM(AC34:AC48)</f>
        <v>10</v>
      </c>
      <c r="AD49" s="87">
        <f t="shared" si="7"/>
        <v>8</v>
      </c>
      <c r="AE49" s="87">
        <f t="shared" si="7"/>
        <v>6</v>
      </c>
      <c r="AF49" s="87">
        <f t="shared" si="7"/>
        <v>0</v>
      </c>
      <c r="AG49" s="87">
        <f t="shared" si="7"/>
        <v>18</v>
      </c>
    </row>
    <row r="50" spans="2:33" s="2" customFormat="1" ht="49.5" customHeight="1" x14ac:dyDescent="0.25">
      <c r="B50" s="29" t="s">
        <v>75</v>
      </c>
      <c r="C50" s="27" t="s">
        <v>198</v>
      </c>
      <c r="D50" s="27" t="s">
        <v>196</v>
      </c>
      <c r="E50" s="27" t="s">
        <v>128</v>
      </c>
      <c r="F50" s="28">
        <v>0</v>
      </c>
      <c r="G50" s="31">
        <v>5</v>
      </c>
      <c r="H50" s="31">
        <v>1</v>
      </c>
      <c r="I50" s="28"/>
      <c r="J50" s="28"/>
      <c r="K50" s="28"/>
      <c r="L50" s="28">
        <v>0</v>
      </c>
      <c r="M50" s="28">
        <v>0</v>
      </c>
      <c r="N50" s="28">
        <v>0</v>
      </c>
      <c r="O50" s="28">
        <v>0</v>
      </c>
      <c r="P50" s="31">
        <v>1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B50" s="35">
        <v>45</v>
      </c>
      <c r="AC50" s="35">
        <v>2</v>
      </c>
      <c r="AD50" s="35">
        <v>2</v>
      </c>
      <c r="AE50" s="35">
        <v>2</v>
      </c>
      <c r="AF50" s="32">
        <v>0</v>
      </c>
      <c r="AG50" s="35">
        <v>1</v>
      </c>
    </row>
    <row r="51" spans="2:33" s="2" customFormat="1" ht="43.5" customHeight="1" x14ac:dyDescent="0.25">
      <c r="B51" s="29" t="s">
        <v>75</v>
      </c>
      <c r="C51" s="27" t="s">
        <v>198</v>
      </c>
      <c r="D51" s="27" t="s">
        <v>76</v>
      </c>
      <c r="E51" s="27" t="s">
        <v>128</v>
      </c>
      <c r="F51" s="28">
        <v>0</v>
      </c>
      <c r="G51" s="31">
        <v>1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31">
        <v>1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B51" s="35">
        <v>6</v>
      </c>
      <c r="AC51" s="35">
        <v>1</v>
      </c>
      <c r="AD51" s="35">
        <v>1</v>
      </c>
      <c r="AE51" s="35">
        <v>1</v>
      </c>
      <c r="AF51" s="32">
        <v>0</v>
      </c>
      <c r="AG51" s="35">
        <v>1</v>
      </c>
    </row>
    <row r="52" spans="2:33" s="2" customFormat="1" ht="43.5" customHeight="1" x14ac:dyDescent="0.25">
      <c r="B52" s="29" t="s">
        <v>75</v>
      </c>
      <c r="C52" s="27" t="s">
        <v>198</v>
      </c>
      <c r="D52" s="27" t="s">
        <v>156</v>
      </c>
      <c r="E52" s="27" t="s">
        <v>128</v>
      </c>
      <c r="F52" s="28">
        <v>0</v>
      </c>
      <c r="G52" s="31">
        <v>3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B52" s="35">
        <f>25</f>
        <v>25</v>
      </c>
      <c r="AC52" s="32">
        <v>0</v>
      </c>
      <c r="AD52" s="35">
        <f>2</f>
        <v>2</v>
      </c>
      <c r="AE52" s="35">
        <v>2</v>
      </c>
      <c r="AF52" s="32">
        <v>0</v>
      </c>
      <c r="AG52" s="35">
        <v>1</v>
      </c>
    </row>
    <row r="53" spans="2:33" s="2" customFormat="1" ht="49.5" customHeight="1" x14ac:dyDescent="0.25">
      <c r="B53" s="29" t="s">
        <v>75</v>
      </c>
      <c r="C53" s="27" t="s">
        <v>169</v>
      </c>
      <c r="D53" s="27" t="s">
        <v>157</v>
      </c>
      <c r="E53" s="27" t="s">
        <v>128</v>
      </c>
      <c r="F53" s="28">
        <v>0</v>
      </c>
      <c r="G53" s="31">
        <v>5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B53" s="35">
        <v>25</v>
      </c>
      <c r="AC53" s="35">
        <v>1</v>
      </c>
      <c r="AD53" s="35">
        <v>1</v>
      </c>
      <c r="AE53" s="35">
        <v>1</v>
      </c>
      <c r="AF53" s="32">
        <v>0</v>
      </c>
      <c r="AG53" s="35">
        <v>1</v>
      </c>
    </row>
    <row r="54" spans="2:33" s="2" customFormat="1" ht="43.5" customHeight="1" x14ac:dyDescent="0.25">
      <c r="B54" s="29" t="s">
        <v>75</v>
      </c>
      <c r="C54" s="27" t="s">
        <v>198</v>
      </c>
      <c r="D54" s="27" t="s">
        <v>170</v>
      </c>
      <c r="E54" s="27" t="s">
        <v>159</v>
      </c>
      <c r="F54" s="28">
        <v>0</v>
      </c>
      <c r="G54" s="31">
        <v>3</v>
      </c>
      <c r="H54" s="31">
        <v>1</v>
      </c>
      <c r="I54" s="28"/>
      <c r="J54" s="28"/>
      <c r="K54" s="28"/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58">
        <f>(AA56/30)*14</f>
        <v>186442866.3934513</v>
      </c>
      <c r="AB54" s="32">
        <v>0</v>
      </c>
      <c r="AC54" s="32">
        <v>0</v>
      </c>
      <c r="AD54" s="32">
        <v>0</v>
      </c>
      <c r="AE54" s="32">
        <v>0</v>
      </c>
      <c r="AF54" s="32">
        <v>0</v>
      </c>
      <c r="AG54" s="32">
        <v>0</v>
      </c>
    </row>
    <row r="55" spans="2:33" s="2" customFormat="1" ht="49.5" customHeight="1" x14ac:dyDescent="0.25">
      <c r="B55" s="29" t="s">
        <v>75</v>
      </c>
      <c r="C55" s="27" t="s">
        <v>169</v>
      </c>
      <c r="D55" s="27" t="s">
        <v>158</v>
      </c>
      <c r="E55" s="27" t="s">
        <v>129</v>
      </c>
      <c r="F55" s="28">
        <v>0</v>
      </c>
      <c r="G55" s="31">
        <v>7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B55" s="35">
        <v>15</v>
      </c>
      <c r="AC55" s="35">
        <v>1</v>
      </c>
      <c r="AD55" s="35">
        <v>1</v>
      </c>
      <c r="AE55" s="35">
        <v>1</v>
      </c>
      <c r="AF55" s="32">
        <v>0</v>
      </c>
      <c r="AG55" s="35">
        <v>1</v>
      </c>
    </row>
    <row r="56" spans="2:33" s="2" customFormat="1" ht="49.5" customHeight="1" x14ac:dyDescent="0.25">
      <c r="B56" s="29" t="s">
        <v>75</v>
      </c>
      <c r="C56" s="27" t="s">
        <v>169</v>
      </c>
      <c r="D56" s="27" t="s">
        <v>174</v>
      </c>
      <c r="E56" s="27" t="s">
        <v>129</v>
      </c>
      <c r="F56" s="28">
        <v>0</v>
      </c>
      <c r="G56" s="31">
        <v>1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58">
        <f>+(G57*G97)+(H57*H97)+(P57*P97)</f>
        <v>399520427.98596704</v>
      </c>
      <c r="AB56" s="35">
        <v>5</v>
      </c>
      <c r="AC56" s="35">
        <v>0</v>
      </c>
      <c r="AD56" s="35">
        <v>1</v>
      </c>
      <c r="AE56" s="35">
        <v>1</v>
      </c>
      <c r="AF56" s="32">
        <v>0</v>
      </c>
      <c r="AG56" s="35">
        <v>1</v>
      </c>
    </row>
    <row r="57" spans="2:33" s="53" customFormat="1" ht="19.5" customHeight="1" x14ac:dyDescent="0.25">
      <c r="B57" s="165" t="s">
        <v>77</v>
      </c>
      <c r="C57" s="165"/>
      <c r="D57" s="165"/>
      <c r="E57" s="165"/>
      <c r="F57" s="85">
        <f>SUM(F50:F56)</f>
        <v>0</v>
      </c>
      <c r="G57" s="85">
        <f>SUM(G50:G56)</f>
        <v>25</v>
      </c>
      <c r="H57" s="85">
        <f t="shared" ref="H57:Z57" si="8">SUM(H50:H56)</f>
        <v>2</v>
      </c>
      <c r="I57" s="85">
        <f t="shared" si="8"/>
        <v>0</v>
      </c>
      <c r="J57" s="85">
        <f t="shared" si="8"/>
        <v>0</v>
      </c>
      <c r="K57" s="85">
        <f t="shared" si="8"/>
        <v>0</v>
      </c>
      <c r="L57" s="85">
        <f t="shared" si="8"/>
        <v>0</v>
      </c>
      <c r="M57" s="85">
        <f t="shared" si="8"/>
        <v>0</v>
      </c>
      <c r="N57" s="85">
        <f t="shared" si="8"/>
        <v>0</v>
      </c>
      <c r="O57" s="85">
        <f t="shared" si="8"/>
        <v>0</v>
      </c>
      <c r="P57" s="85">
        <f t="shared" si="8"/>
        <v>2</v>
      </c>
      <c r="Q57" s="85">
        <f t="shared" si="8"/>
        <v>0</v>
      </c>
      <c r="R57" s="85">
        <f t="shared" si="8"/>
        <v>0</v>
      </c>
      <c r="S57" s="85">
        <f t="shared" si="8"/>
        <v>0</v>
      </c>
      <c r="T57" s="85">
        <f t="shared" si="8"/>
        <v>0</v>
      </c>
      <c r="U57" s="85">
        <f t="shared" si="8"/>
        <v>0</v>
      </c>
      <c r="V57" s="85">
        <f t="shared" si="8"/>
        <v>0</v>
      </c>
      <c r="W57" s="85">
        <f t="shared" si="8"/>
        <v>0</v>
      </c>
      <c r="X57" s="85">
        <f t="shared" si="8"/>
        <v>0</v>
      </c>
      <c r="Y57" s="85">
        <f t="shared" si="8"/>
        <v>0</v>
      </c>
      <c r="Z57" s="85">
        <f t="shared" si="8"/>
        <v>0</v>
      </c>
      <c r="AA57" s="86">
        <f>SUM(F57:Z57)</f>
        <v>29</v>
      </c>
      <c r="AB57" s="88">
        <f>SUM(AB50:AB56)</f>
        <v>121</v>
      </c>
      <c r="AC57" s="88">
        <f t="shared" ref="AC57:AG57" si="9">SUM(AC50:AC56)</f>
        <v>5</v>
      </c>
      <c r="AD57" s="88">
        <f t="shared" si="9"/>
        <v>8</v>
      </c>
      <c r="AE57" s="88">
        <f t="shared" si="9"/>
        <v>8</v>
      </c>
      <c r="AF57" s="88">
        <f t="shared" si="9"/>
        <v>0</v>
      </c>
      <c r="AG57" s="88">
        <f t="shared" si="9"/>
        <v>6</v>
      </c>
    </row>
    <row r="58" spans="2:33" s="2" customFormat="1" ht="49.5" customHeight="1" x14ac:dyDescent="0.25">
      <c r="B58" s="29" t="s">
        <v>78</v>
      </c>
      <c r="C58" s="27" t="s">
        <v>33</v>
      </c>
      <c r="D58" s="27" t="s">
        <v>160</v>
      </c>
      <c r="E58" s="27" t="s">
        <v>119</v>
      </c>
      <c r="F58" s="28">
        <v>0</v>
      </c>
      <c r="G58" s="31">
        <v>5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B58" s="35">
        <v>26</v>
      </c>
      <c r="AC58" s="35">
        <v>3</v>
      </c>
      <c r="AD58" s="35">
        <v>1</v>
      </c>
      <c r="AE58" s="35">
        <v>1</v>
      </c>
      <c r="AF58" s="35">
        <v>1</v>
      </c>
      <c r="AG58" s="35">
        <v>2</v>
      </c>
    </row>
    <row r="59" spans="2:33" s="2" customFormat="1" ht="49.5" customHeight="1" x14ac:dyDescent="0.25">
      <c r="B59" s="29" t="s">
        <v>78</v>
      </c>
      <c r="C59" s="27" t="s">
        <v>43</v>
      </c>
      <c r="D59" s="27" t="s">
        <v>164</v>
      </c>
      <c r="E59" s="27" t="s">
        <v>119</v>
      </c>
      <c r="F59" s="28">
        <v>0</v>
      </c>
      <c r="G59" s="31">
        <v>1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B59" s="32">
        <v>0</v>
      </c>
      <c r="AC59" s="32">
        <v>0</v>
      </c>
      <c r="AD59" s="32">
        <v>0</v>
      </c>
      <c r="AE59" s="32">
        <v>0</v>
      </c>
      <c r="AF59" s="32">
        <v>0</v>
      </c>
      <c r="AG59" s="32">
        <v>0</v>
      </c>
    </row>
    <row r="60" spans="2:33" s="2" customFormat="1" ht="44.25" customHeight="1" x14ac:dyDescent="0.25">
      <c r="B60" s="30" t="s">
        <v>78</v>
      </c>
      <c r="C60" s="27" t="s">
        <v>79</v>
      </c>
      <c r="D60" s="27" t="s">
        <v>161</v>
      </c>
      <c r="E60" s="27" t="s">
        <v>119</v>
      </c>
      <c r="F60" s="28">
        <v>0</v>
      </c>
      <c r="G60" s="36">
        <v>1</v>
      </c>
      <c r="H60" s="31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B60" s="32">
        <v>0</v>
      </c>
      <c r="AC60" s="32">
        <v>0</v>
      </c>
      <c r="AD60" s="32">
        <v>0</v>
      </c>
      <c r="AE60" s="32">
        <v>0</v>
      </c>
      <c r="AF60" s="32">
        <v>0</v>
      </c>
      <c r="AG60" s="32">
        <v>0</v>
      </c>
    </row>
    <row r="61" spans="2:33" s="2" customFormat="1" ht="44.25" customHeight="1" x14ac:dyDescent="0.25">
      <c r="B61" s="30" t="s">
        <v>78</v>
      </c>
      <c r="C61" s="27" t="s">
        <v>79</v>
      </c>
      <c r="D61" s="27" t="s">
        <v>162</v>
      </c>
      <c r="E61" s="27" t="s">
        <v>119</v>
      </c>
      <c r="F61" s="28">
        <v>0</v>
      </c>
      <c r="G61" s="36">
        <v>3</v>
      </c>
      <c r="H61" s="31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B61" s="35">
        <v>16</v>
      </c>
      <c r="AC61" s="32">
        <v>0</v>
      </c>
      <c r="AD61" s="35">
        <v>1</v>
      </c>
      <c r="AE61" s="35">
        <v>1</v>
      </c>
      <c r="AF61" s="35">
        <v>1</v>
      </c>
      <c r="AG61" s="35">
        <v>1</v>
      </c>
    </row>
    <row r="62" spans="2:33" s="2" customFormat="1" ht="44.25" customHeight="1" x14ac:dyDescent="0.25">
      <c r="B62" s="30" t="s">
        <v>78</v>
      </c>
      <c r="C62" s="27" t="s">
        <v>79</v>
      </c>
      <c r="D62" s="27" t="s">
        <v>163</v>
      </c>
      <c r="E62" s="27" t="s">
        <v>119</v>
      </c>
      <c r="F62" s="28">
        <v>0</v>
      </c>
      <c r="G62" s="36">
        <v>1</v>
      </c>
      <c r="H62" s="31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B62" s="32">
        <v>0</v>
      </c>
      <c r="AC62" s="32">
        <v>0</v>
      </c>
      <c r="AD62" s="32">
        <v>0</v>
      </c>
      <c r="AE62" s="32">
        <v>0</v>
      </c>
      <c r="AF62" s="32">
        <v>0</v>
      </c>
      <c r="AG62" s="32">
        <v>0</v>
      </c>
    </row>
    <row r="63" spans="2:33" s="2" customFormat="1" ht="44.25" customHeight="1" x14ac:dyDescent="0.25">
      <c r="B63" s="30" t="s">
        <v>78</v>
      </c>
      <c r="C63" s="27" t="s">
        <v>79</v>
      </c>
      <c r="D63" s="27" t="s">
        <v>80</v>
      </c>
      <c r="E63" s="27" t="s">
        <v>119</v>
      </c>
      <c r="F63" s="28">
        <v>0</v>
      </c>
      <c r="G63" s="36">
        <v>2</v>
      </c>
      <c r="H63" s="31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B63" s="35">
        <v>23</v>
      </c>
      <c r="AC63" s="32">
        <v>0</v>
      </c>
      <c r="AD63" s="35">
        <v>1</v>
      </c>
      <c r="AE63" s="35">
        <v>1</v>
      </c>
      <c r="AF63" s="35">
        <v>1</v>
      </c>
      <c r="AG63" s="35">
        <v>1</v>
      </c>
    </row>
    <row r="64" spans="2:33" s="2" customFormat="1" ht="49.5" customHeight="1" x14ac:dyDescent="0.25">
      <c r="B64" s="29" t="s">
        <v>78</v>
      </c>
      <c r="C64" s="27" t="s">
        <v>81</v>
      </c>
      <c r="D64" s="27" t="s">
        <v>82</v>
      </c>
      <c r="E64" s="27" t="s">
        <v>130</v>
      </c>
      <c r="F64" s="28">
        <v>0</v>
      </c>
      <c r="G64" s="31">
        <v>4</v>
      </c>
      <c r="H64" s="28">
        <v>0</v>
      </c>
      <c r="I64" s="28">
        <v>0</v>
      </c>
      <c r="J64" s="28">
        <v>0</v>
      </c>
      <c r="K64" s="28">
        <v>0</v>
      </c>
      <c r="L64" s="31">
        <v>1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31">
        <v>1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B64" s="35">
        <v>28</v>
      </c>
      <c r="AC64" s="35">
        <v>4</v>
      </c>
      <c r="AD64" s="35">
        <v>2</v>
      </c>
      <c r="AE64" s="35">
        <v>2</v>
      </c>
      <c r="AF64" s="35">
        <v>2</v>
      </c>
      <c r="AG64" s="35">
        <v>5</v>
      </c>
    </row>
    <row r="65" spans="2:33" s="2" customFormat="1" ht="49.5" customHeight="1" x14ac:dyDescent="0.25">
      <c r="B65" s="29" t="s">
        <v>78</v>
      </c>
      <c r="C65" s="27" t="s">
        <v>83</v>
      </c>
      <c r="D65" s="27" t="s">
        <v>141</v>
      </c>
      <c r="E65" s="27" t="s">
        <v>131</v>
      </c>
      <c r="F65" s="31">
        <v>2</v>
      </c>
      <c r="G65" s="31">
        <v>3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B65" s="35">
        <v>19</v>
      </c>
      <c r="AC65" s="35">
        <v>4</v>
      </c>
      <c r="AD65" s="35">
        <v>2</v>
      </c>
      <c r="AE65" s="35">
        <v>2</v>
      </c>
      <c r="AF65" s="35">
        <v>2</v>
      </c>
      <c r="AG65" s="35">
        <v>5</v>
      </c>
    </row>
    <row r="66" spans="2:33" s="2" customFormat="1" ht="44.25" customHeight="1" x14ac:dyDescent="0.25">
      <c r="B66" s="30" t="s">
        <v>78</v>
      </c>
      <c r="C66" s="27" t="s">
        <v>84</v>
      </c>
      <c r="D66" s="27" t="s">
        <v>85</v>
      </c>
      <c r="E66" s="27" t="s">
        <v>132</v>
      </c>
      <c r="F66" s="36">
        <v>1</v>
      </c>
      <c r="G66" s="36">
        <v>5</v>
      </c>
      <c r="H66" s="31">
        <v>1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B66" s="35">
        <v>67</v>
      </c>
      <c r="AC66" s="35">
        <v>2</v>
      </c>
      <c r="AD66" s="35">
        <v>3</v>
      </c>
      <c r="AE66" s="35">
        <v>3</v>
      </c>
      <c r="AF66" s="35">
        <v>1</v>
      </c>
      <c r="AG66" s="35">
        <v>3</v>
      </c>
    </row>
    <row r="67" spans="2:33" s="2" customFormat="1" ht="44.25" customHeight="1" x14ac:dyDescent="0.25">
      <c r="B67" s="30" t="s">
        <v>78</v>
      </c>
      <c r="C67" s="27" t="s">
        <v>84</v>
      </c>
      <c r="D67" s="27" t="s">
        <v>140</v>
      </c>
      <c r="E67" s="27" t="s">
        <v>132</v>
      </c>
      <c r="F67" s="28">
        <v>0</v>
      </c>
      <c r="G67" s="36">
        <v>1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B67" s="35">
        <v>8</v>
      </c>
      <c r="AC67" s="35">
        <v>1</v>
      </c>
      <c r="AD67" s="35">
        <v>1</v>
      </c>
      <c r="AE67" s="35">
        <v>1</v>
      </c>
      <c r="AF67" s="32">
        <v>0</v>
      </c>
      <c r="AG67" s="32">
        <v>0</v>
      </c>
    </row>
    <row r="68" spans="2:33" s="2" customFormat="1" ht="44.25" customHeight="1" x14ac:dyDescent="0.25">
      <c r="B68" s="30" t="s">
        <v>78</v>
      </c>
      <c r="C68" s="27" t="s">
        <v>84</v>
      </c>
      <c r="D68" s="27" t="s">
        <v>86</v>
      </c>
      <c r="E68" s="27" t="s">
        <v>132</v>
      </c>
      <c r="F68" s="28">
        <v>0</v>
      </c>
      <c r="G68" s="36">
        <v>2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B68" s="32">
        <v>0</v>
      </c>
      <c r="AC68" s="32">
        <v>0</v>
      </c>
      <c r="AD68" s="32">
        <v>0</v>
      </c>
      <c r="AE68" s="32">
        <v>0</v>
      </c>
      <c r="AF68" s="32">
        <v>0</v>
      </c>
      <c r="AG68" s="32">
        <v>0</v>
      </c>
    </row>
    <row r="69" spans="2:33" s="2" customFormat="1" ht="49.5" customHeight="1" x14ac:dyDescent="0.25">
      <c r="B69" s="29" t="s">
        <v>78</v>
      </c>
      <c r="C69" s="27" t="s">
        <v>87</v>
      </c>
      <c r="D69" s="27" t="s">
        <v>165</v>
      </c>
      <c r="E69" s="27" t="s">
        <v>132</v>
      </c>
      <c r="F69" s="28">
        <v>0</v>
      </c>
      <c r="G69" s="31">
        <v>2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B69" s="35">
        <v>13</v>
      </c>
      <c r="AC69" s="35">
        <v>3</v>
      </c>
      <c r="AD69" s="35">
        <v>1</v>
      </c>
      <c r="AE69" s="35">
        <v>1</v>
      </c>
      <c r="AF69" s="32">
        <v>0</v>
      </c>
      <c r="AG69" s="32">
        <v>0</v>
      </c>
    </row>
    <row r="70" spans="2:33" s="2" customFormat="1" ht="49.5" customHeight="1" x14ac:dyDescent="0.25">
      <c r="B70" s="29" t="s">
        <v>78</v>
      </c>
      <c r="C70" s="27" t="s">
        <v>87</v>
      </c>
      <c r="D70" s="27" t="s">
        <v>142</v>
      </c>
      <c r="E70" s="27" t="s">
        <v>132</v>
      </c>
      <c r="F70" s="28">
        <v>0</v>
      </c>
      <c r="G70" s="31">
        <v>1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B70" s="32">
        <v>0</v>
      </c>
      <c r="AC70" s="32">
        <v>0</v>
      </c>
      <c r="AD70" s="32">
        <v>0</v>
      </c>
      <c r="AE70" s="32">
        <v>0</v>
      </c>
      <c r="AF70" s="32">
        <v>0</v>
      </c>
      <c r="AG70" s="32">
        <v>0</v>
      </c>
    </row>
    <row r="71" spans="2:33" s="2" customFormat="1" ht="49.5" customHeight="1" x14ac:dyDescent="0.25">
      <c r="B71" s="29" t="s">
        <v>78</v>
      </c>
      <c r="C71" s="27" t="s">
        <v>87</v>
      </c>
      <c r="D71" s="27" t="s">
        <v>88</v>
      </c>
      <c r="E71" s="27" t="s">
        <v>133</v>
      </c>
      <c r="F71" s="28">
        <v>0</v>
      </c>
      <c r="G71" s="31">
        <v>3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31">
        <v>1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B71" s="35">
        <v>28</v>
      </c>
      <c r="AC71" s="35">
        <v>4</v>
      </c>
      <c r="AD71" s="32">
        <v>0</v>
      </c>
      <c r="AE71" s="32">
        <v>0</v>
      </c>
      <c r="AF71" s="35">
        <v>1</v>
      </c>
      <c r="AG71" s="35">
        <v>1</v>
      </c>
    </row>
    <row r="72" spans="2:33" s="2" customFormat="1" ht="49.5" customHeight="1" x14ac:dyDescent="0.25">
      <c r="B72" s="29" t="s">
        <v>78</v>
      </c>
      <c r="C72" s="27" t="s">
        <v>87</v>
      </c>
      <c r="D72" s="27" t="s">
        <v>192</v>
      </c>
      <c r="E72" s="27" t="s">
        <v>119</v>
      </c>
      <c r="F72" s="28">
        <v>0</v>
      </c>
      <c r="G72" s="31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31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B72" s="32">
        <v>0</v>
      </c>
      <c r="AC72" s="32">
        <v>0</v>
      </c>
      <c r="AD72" s="32">
        <v>0</v>
      </c>
      <c r="AE72" s="32">
        <v>0</v>
      </c>
      <c r="AF72" s="32">
        <v>0</v>
      </c>
      <c r="AG72" s="32">
        <v>0</v>
      </c>
    </row>
    <row r="73" spans="2:33" s="2" customFormat="1" ht="37.5" customHeight="1" x14ac:dyDescent="0.25">
      <c r="B73" s="30" t="s">
        <v>78</v>
      </c>
      <c r="C73" s="27" t="s">
        <v>89</v>
      </c>
      <c r="D73" s="27" t="s">
        <v>175</v>
      </c>
      <c r="E73" s="27" t="s">
        <v>120</v>
      </c>
      <c r="F73" s="33">
        <v>0</v>
      </c>
      <c r="G73" s="37">
        <v>3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34">
        <v>0</v>
      </c>
      <c r="V73" s="34">
        <v>0</v>
      </c>
      <c r="W73" s="34">
        <v>0</v>
      </c>
      <c r="X73" s="28">
        <v>0</v>
      </c>
      <c r="Y73" s="28">
        <v>0</v>
      </c>
      <c r="Z73" s="28">
        <v>0</v>
      </c>
      <c r="AB73" s="35">
        <v>24</v>
      </c>
      <c r="AC73" s="35">
        <v>1</v>
      </c>
      <c r="AD73" s="35">
        <v>1</v>
      </c>
      <c r="AE73" s="35">
        <v>1</v>
      </c>
      <c r="AF73" s="32">
        <v>0</v>
      </c>
      <c r="AG73" s="35">
        <v>4</v>
      </c>
    </row>
    <row r="74" spans="2:33" s="2" customFormat="1" ht="37.5" customHeight="1" x14ac:dyDescent="0.25">
      <c r="B74" s="30" t="s">
        <v>78</v>
      </c>
      <c r="C74" s="27" t="s">
        <v>89</v>
      </c>
      <c r="D74" s="27" t="s">
        <v>176</v>
      </c>
      <c r="E74" s="27" t="s">
        <v>118</v>
      </c>
      <c r="F74" s="33">
        <v>0</v>
      </c>
      <c r="G74" s="37">
        <v>1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34">
        <v>0</v>
      </c>
      <c r="V74" s="34">
        <v>0</v>
      </c>
      <c r="W74" s="34">
        <v>0</v>
      </c>
      <c r="X74" s="28">
        <v>0</v>
      </c>
      <c r="Y74" s="28">
        <v>0</v>
      </c>
      <c r="Z74" s="28">
        <v>0</v>
      </c>
      <c r="AB74" s="35">
        <v>8</v>
      </c>
      <c r="AC74" s="32">
        <v>0</v>
      </c>
      <c r="AD74" s="35">
        <v>1</v>
      </c>
      <c r="AE74" s="35">
        <v>1</v>
      </c>
      <c r="AF74" s="32">
        <v>0</v>
      </c>
      <c r="AG74" s="35">
        <v>2</v>
      </c>
    </row>
    <row r="75" spans="2:33" s="2" customFormat="1" ht="49.5" customHeight="1" x14ac:dyDescent="0.25">
      <c r="B75" s="29" t="s">
        <v>78</v>
      </c>
      <c r="C75" s="27" t="s">
        <v>90</v>
      </c>
      <c r="D75" s="27" t="s">
        <v>177</v>
      </c>
      <c r="E75" s="27" t="s">
        <v>116</v>
      </c>
      <c r="F75" s="28">
        <v>0</v>
      </c>
      <c r="G75" s="31">
        <v>3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B75" s="35">
        <v>9</v>
      </c>
      <c r="AC75" s="35">
        <v>2</v>
      </c>
      <c r="AD75" s="35">
        <v>1</v>
      </c>
      <c r="AE75" s="35">
        <v>1</v>
      </c>
      <c r="AF75" s="35">
        <v>1</v>
      </c>
      <c r="AG75" s="35">
        <v>2</v>
      </c>
    </row>
    <row r="76" spans="2:33" s="2" customFormat="1" ht="49.5" customHeight="1" x14ac:dyDescent="0.25">
      <c r="B76" s="29" t="s">
        <v>78</v>
      </c>
      <c r="C76" s="27" t="s">
        <v>91</v>
      </c>
      <c r="D76" s="27" t="s">
        <v>166</v>
      </c>
      <c r="E76" s="27" t="s">
        <v>117</v>
      </c>
      <c r="F76" s="28">
        <v>0</v>
      </c>
      <c r="G76" s="31">
        <v>3</v>
      </c>
      <c r="H76" s="28">
        <v>0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B76" s="35">
        <v>11</v>
      </c>
      <c r="AC76" s="35">
        <v>2</v>
      </c>
      <c r="AD76" s="35">
        <v>1</v>
      </c>
      <c r="AE76" s="35">
        <v>1</v>
      </c>
      <c r="AF76" s="32">
        <v>0</v>
      </c>
      <c r="AG76" s="35">
        <v>6</v>
      </c>
    </row>
    <row r="77" spans="2:33" s="2" customFormat="1" ht="49.5" customHeight="1" x14ac:dyDescent="0.25">
      <c r="B77" s="29" t="s">
        <v>78</v>
      </c>
      <c r="C77" s="27" t="s">
        <v>91</v>
      </c>
      <c r="D77" s="27" t="s">
        <v>199</v>
      </c>
      <c r="E77" s="27" t="s">
        <v>116</v>
      </c>
      <c r="F77" s="28">
        <v>0</v>
      </c>
      <c r="G77" s="31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31">
        <v>1</v>
      </c>
      <c r="X77" s="28">
        <v>0</v>
      </c>
      <c r="Y77" s="28">
        <v>0</v>
      </c>
      <c r="Z77" s="28">
        <v>0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32">
        <v>0</v>
      </c>
    </row>
    <row r="78" spans="2:33" s="2" customFormat="1" ht="49.5" customHeight="1" x14ac:dyDescent="0.25">
      <c r="B78" s="29" t="s">
        <v>78</v>
      </c>
      <c r="C78" s="27" t="s">
        <v>91</v>
      </c>
      <c r="D78" s="27" t="s">
        <v>92</v>
      </c>
      <c r="E78" s="27" t="s">
        <v>134</v>
      </c>
      <c r="F78" s="28"/>
      <c r="G78" s="31">
        <v>1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B78" s="35">
        <v>5</v>
      </c>
      <c r="AC78" s="35">
        <v>2</v>
      </c>
      <c r="AD78" s="35">
        <v>1</v>
      </c>
      <c r="AE78" s="35">
        <v>1</v>
      </c>
      <c r="AF78" s="32">
        <v>0</v>
      </c>
      <c r="AG78" s="35">
        <v>1</v>
      </c>
    </row>
    <row r="79" spans="2:33" s="2" customFormat="1" ht="44.25" customHeight="1" x14ac:dyDescent="0.25">
      <c r="B79" s="30" t="s">
        <v>78</v>
      </c>
      <c r="C79" s="27" t="s">
        <v>93</v>
      </c>
      <c r="D79" s="27" t="s">
        <v>167</v>
      </c>
      <c r="E79" s="27" t="s">
        <v>135</v>
      </c>
      <c r="F79" s="28">
        <v>0</v>
      </c>
      <c r="G79" s="36">
        <v>3</v>
      </c>
      <c r="H79" s="31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B79" s="35">
        <v>19</v>
      </c>
      <c r="AC79" s="32">
        <v>0</v>
      </c>
      <c r="AD79" s="35">
        <v>1</v>
      </c>
      <c r="AE79" s="35">
        <v>1</v>
      </c>
      <c r="AF79" s="32">
        <v>0</v>
      </c>
      <c r="AG79" s="35">
        <v>2</v>
      </c>
    </row>
    <row r="80" spans="2:33" s="2" customFormat="1" ht="44.25" customHeight="1" x14ac:dyDescent="0.25">
      <c r="B80" s="30" t="s">
        <v>78</v>
      </c>
      <c r="C80" s="27" t="s">
        <v>93</v>
      </c>
      <c r="D80" s="27" t="s">
        <v>194</v>
      </c>
      <c r="E80" s="27" t="s">
        <v>136</v>
      </c>
      <c r="F80" s="28">
        <v>0</v>
      </c>
      <c r="G80" s="36">
        <v>2</v>
      </c>
      <c r="H80" s="31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B80" s="35">
        <v>16</v>
      </c>
      <c r="AC80" s="32">
        <v>0</v>
      </c>
      <c r="AD80" s="35">
        <v>1</v>
      </c>
      <c r="AE80" s="35">
        <v>1</v>
      </c>
      <c r="AF80" s="32">
        <v>0</v>
      </c>
      <c r="AG80" s="32">
        <v>0</v>
      </c>
    </row>
    <row r="81" spans="2:33" s="2" customFormat="1" ht="44.25" customHeight="1" x14ac:dyDescent="0.25">
      <c r="B81" s="30" t="s">
        <v>78</v>
      </c>
      <c r="C81" s="27" t="s">
        <v>93</v>
      </c>
      <c r="D81" s="27" t="s">
        <v>143</v>
      </c>
      <c r="E81" s="27" t="s">
        <v>122</v>
      </c>
      <c r="F81" s="28">
        <v>0</v>
      </c>
      <c r="G81" s="36">
        <v>3</v>
      </c>
      <c r="H81" s="31">
        <v>0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B81" s="35">
        <v>15</v>
      </c>
      <c r="AC81" s="32">
        <v>0</v>
      </c>
      <c r="AD81" s="35">
        <v>1</v>
      </c>
      <c r="AE81" s="35">
        <v>1</v>
      </c>
      <c r="AF81" s="32">
        <v>0</v>
      </c>
      <c r="AG81" s="35">
        <v>2</v>
      </c>
    </row>
    <row r="82" spans="2:33" s="2" customFormat="1" ht="44.25" customHeight="1" x14ac:dyDescent="0.25">
      <c r="B82" s="30" t="s">
        <v>78</v>
      </c>
      <c r="C82" s="27" t="s">
        <v>93</v>
      </c>
      <c r="D82" s="27" t="s">
        <v>94</v>
      </c>
      <c r="E82" s="27" t="s">
        <v>137</v>
      </c>
      <c r="F82" s="28">
        <v>0</v>
      </c>
      <c r="G82" s="36">
        <v>1</v>
      </c>
      <c r="H82" s="31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B82" s="35">
        <v>22</v>
      </c>
      <c r="AC82" s="35">
        <v>4</v>
      </c>
      <c r="AD82" s="35">
        <v>1</v>
      </c>
      <c r="AE82" s="35">
        <v>1</v>
      </c>
      <c r="AF82" s="32">
        <v>0</v>
      </c>
      <c r="AG82" s="35">
        <v>4</v>
      </c>
    </row>
    <row r="83" spans="2:33" s="2" customFormat="1" ht="49.5" customHeight="1" x14ac:dyDescent="0.25">
      <c r="B83" s="29" t="s">
        <v>78</v>
      </c>
      <c r="C83" s="27" t="s">
        <v>95</v>
      </c>
      <c r="D83" s="27" t="s">
        <v>193</v>
      </c>
      <c r="E83" s="27" t="s">
        <v>138</v>
      </c>
      <c r="F83" s="28">
        <v>0</v>
      </c>
      <c r="G83" s="31">
        <v>5</v>
      </c>
      <c r="H83" s="31">
        <v>1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B83" s="35">
        <v>8</v>
      </c>
      <c r="AC83" s="35">
        <v>2</v>
      </c>
      <c r="AD83" s="35">
        <v>1</v>
      </c>
      <c r="AE83" s="35">
        <v>1</v>
      </c>
      <c r="AF83" s="32">
        <v>0</v>
      </c>
      <c r="AG83" s="32">
        <v>0</v>
      </c>
    </row>
    <row r="84" spans="2:33" s="2" customFormat="1" ht="49.5" customHeight="1" x14ac:dyDescent="0.25">
      <c r="B84" s="29" t="s">
        <v>78</v>
      </c>
      <c r="C84" s="27" t="s">
        <v>95</v>
      </c>
      <c r="D84" s="27" t="s">
        <v>168</v>
      </c>
      <c r="E84" s="27" t="s">
        <v>138</v>
      </c>
      <c r="F84" s="28">
        <v>0</v>
      </c>
      <c r="G84" s="31">
        <v>1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58">
        <f>(AA85/30)*14</f>
        <v>465622104.06575543</v>
      </c>
      <c r="AB84" s="35">
        <v>12</v>
      </c>
      <c r="AC84" s="32">
        <v>0</v>
      </c>
      <c r="AD84" s="35">
        <v>1</v>
      </c>
      <c r="AE84" s="35">
        <v>1</v>
      </c>
      <c r="AF84" s="32">
        <v>0</v>
      </c>
      <c r="AG84" s="32">
        <v>0</v>
      </c>
    </row>
    <row r="85" spans="2:33" s="2" customFormat="1" ht="49.5" customHeight="1" x14ac:dyDescent="0.25">
      <c r="B85" s="29" t="s">
        <v>78</v>
      </c>
      <c r="C85" s="27" t="s">
        <v>95</v>
      </c>
      <c r="D85" s="27" t="s">
        <v>139</v>
      </c>
      <c r="E85" s="27" t="s">
        <v>197</v>
      </c>
      <c r="F85" s="28">
        <v>0</v>
      </c>
      <c r="G85" s="31">
        <v>2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58">
        <f>+(F86*F97)+(G86*G97)+(H86*H97)+(L86*L97)+(P86*P97)+(U86*U97)+(W86*W97)</f>
        <v>997761651.56947589</v>
      </c>
      <c r="AB85" s="32">
        <v>0</v>
      </c>
      <c r="AC85" s="32">
        <v>0</v>
      </c>
      <c r="AD85" s="32">
        <v>0</v>
      </c>
      <c r="AE85" s="32">
        <v>0</v>
      </c>
      <c r="AF85" s="32">
        <v>0</v>
      </c>
      <c r="AG85" s="32">
        <v>0</v>
      </c>
    </row>
    <row r="86" spans="2:33" s="53" customFormat="1" ht="25.5" customHeight="1" x14ac:dyDescent="0.25">
      <c r="B86" s="165" t="s">
        <v>96</v>
      </c>
      <c r="C86" s="165"/>
      <c r="D86" s="165"/>
      <c r="E86" s="165"/>
      <c r="F86" s="85">
        <f t="shared" ref="F86:Z86" si="10">SUM(F58:F85)</f>
        <v>3</v>
      </c>
      <c r="G86" s="85">
        <f t="shared" si="10"/>
        <v>62</v>
      </c>
      <c r="H86" s="85">
        <f t="shared" si="10"/>
        <v>2</v>
      </c>
      <c r="I86" s="85">
        <f t="shared" si="10"/>
        <v>0</v>
      </c>
      <c r="J86" s="85">
        <f t="shared" si="10"/>
        <v>0</v>
      </c>
      <c r="K86" s="85">
        <f t="shared" si="10"/>
        <v>0</v>
      </c>
      <c r="L86" s="85">
        <f t="shared" si="10"/>
        <v>1</v>
      </c>
      <c r="M86" s="85">
        <f t="shared" si="10"/>
        <v>0</v>
      </c>
      <c r="N86" s="85">
        <f t="shared" si="10"/>
        <v>0</v>
      </c>
      <c r="O86" s="85">
        <f t="shared" si="10"/>
        <v>0</v>
      </c>
      <c r="P86" s="85">
        <f t="shared" si="10"/>
        <v>2</v>
      </c>
      <c r="Q86" s="85">
        <f t="shared" si="10"/>
        <v>0</v>
      </c>
      <c r="R86" s="85">
        <f t="shared" si="10"/>
        <v>0</v>
      </c>
      <c r="S86" s="85">
        <f t="shared" si="10"/>
        <v>0</v>
      </c>
      <c r="T86" s="85">
        <f t="shared" si="10"/>
        <v>0</v>
      </c>
      <c r="U86" s="85">
        <f t="shared" si="10"/>
        <v>1</v>
      </c>
      <c r="V86" s="85">
        <f t="shared" si="10"/>
        <v>0</v>
      </c>
      <c r="W86" s="85">
        <f t="shared" si="10"/>
        <v>1</v>
      </c>
      <c r="X86" s="85">
        <f t="shared" si="10"/>
        <v>0</v>
      </c>
      <c r="Y86" s="85">
        <f t="shared" si="10"/>
        <v>0</v>
      </c>
      <c r="Z86" s="85">
        <f t="shared" si="10"/>
        <v>0</v>
      </c>
      <c r="AA86" s="86">
        <f>SUM(F86:Z86)</f>
        <v>72</v>
      </c>
      <c r="AB86" s="89">
        <f t="shared" ref="AB86:AG86" si="11">SUM(AB58:AB85)</f>
        <v>377</v>
      </c>
      <c r="AC86" s="89">
        <f t="shared" si="11"/>
        <v>34</v>
      </c>
      <c r="AD86" s="89">
        <f t="shared" si="11"/>
        <v>23</v>
      </c>
      <c r="AE86" s="89">
        <f t="shared" si="11"/>
        <v>23</v>
      </c>
      <c r="AF86" s="89">
        <f t="shared" si="11"/>
        <v>10</v>
      </c>
      <c r="AG86" s="89">
        <f t="shared" si="11"/>
        <v>41</v>
      </c>
    </row>
    <row r="87" spans="2:33" s="54" customFormat="1" ht="16.5" customHeight="1" x14ac:dyDescent="0.25">
      <c r="B87" s="55"/>
      <c r="C87" s="55"/>
      <c r="D87" s="55"/>
      <c r="E87" s="55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7"/>
    </row>
    <row r="88" spans="2:33" s="4" customFormat="1" ht="35.25" customHeight="1" x14ac:dyDescent="0.25">
      <c r="B88" s="3"/>
      <c r="C88" s="3"/>
      <c r="D88" s="3"/>
      <c r="E88" s="90" t="s">
        <v>97</v>
      </c>
      <c r="F88" s="91">
        <f t="shared" ref="F88:Z88" si="12">+F12+F18+F33+F49+F57+F86</f>
        <v>9</v>
      </c>
      <c r="G88" s="91">
        <f t="shared" si="12"/>
        <v>165</v>
      </c>
      <c r="H88" s="91">
        <f t="shared" si="12"/>
        <v>6</v>
      </c>
      <c r="I88" s="91">
        <f t="shared" si="12"/>
        <v>0</v>
      </c>
      <c r="J88" s="91">
        <f t="shared" si="12"/>
        <v>0</v>
      </c>
      <c r="K88" s="91">
        <f t="shared" si="12"/>
        <v>0</v>
      </c>
      <c r="L88" s="91">
        <f t="shared" si="12"/>
        <v>2</v>
      </c>
      <c r="M88" s="91">
        <f t="shared" si="12"/>
        <v>1</v>
      </c>
      <c r="N88" s="91">
        <f t="shared" si="12"/>
        <v>0</v>
      </c>
      <c r="O88" s="91">
        <f t="shared" si="12"/>
        <v>1</v>
      </c>
      <c r="P88" s="91">
        <f t="shared" si="12"/>
        <v>5</v>
      </c>
      <c r="Q88" s="91">
        <f t="shared" si="12"/>
        <v>4</v>
      </c>
      <c r="R88" s="91">
        <f t="shared" si="12"/>
        <v>0</v>
      </c>
      <c r="S88" s="91">
        <f t="shared" si="12"/>
        <v>0</v>
      </c>
      <c r="T88" s="91">
        <f t="shared" si="12"/>
        <v>0</v>
      </c>
      <c r="U88" s="91">
        <f t="shared" si="12"/>
        <v>1</v>
      </c>
      <c r="V88" s="91">
        <f t="shared" si="12"/>
        <v>1</v>
      </c>
      <c r="W88" s="91">
        <f t="shared" si="12"/>
        <v>1</v>
      </c>
      <c r="X88" s="91">
        <f t="shared" si="12"/>
        <v>1</v>
      </c>
      <c r="Y88" s="91">
        <f t="shared" si="12"/>
        <v>2</v>
      </c>
      <c r="Z88" s="91">
        <f t="shared" si="12"/>
        <v>0</v>
      </c>
      <c r="AA88" s="51"/>
      <c r="AB88" s="92">
        <f t="shared" ref="AB88:AG88" si="13">+AB12+AB18+AB33+AB49+AB57+AB86</f>
        <v>883</v>
      </c>
      <c r="AC88" s="92">
        <f t="shared" si="13"/>
        <v>59</v>
      </c>
      <c r="AD88" s="92">
        <f t="shared" si="13"/>
        <v>61</v>
      </c>
      <c r="AE88" s="92">
        <f t="shared" si="13"/>
        <v>59</v>
      </c>
      <c r="AF88" s="92">
        <f t="shared" si="13"/>
        <v>16</v>
      </c>
      <c r="AG88" s="92">
        <f t="shared" si="13"/>
        <v>94</v>
      </c>
    </row>
    <row r="89" spans="2:33" s="4" customFormat="1" ht="20.25" customHeight="1" x14ac:dyDescent="0.25">
      <c r="B89" s="3"/>
      <c r="C89" s="5"/>
      <c r="D89" s="5"/>
      <c r="E89" s="65" t="s">
        <v>98</v>
      </c>
      <c r="F89" s="66">
        <v>3</v>
      </c>
      <c r="G89" s="66">
        <v>3</v>
      </c>
      <c r="H89" s="66">
        <v>3</v>
      </c>
      <c r="I89" s="66">
        <v>3</v>
      </c>
      <c r="J89" s="66">
        <v>3</v>
      </c>
      <c r="K89" s="66">
        <v>3</v>
      </c>
      <c r="L89" s="66">
        <v>2</v>
      </c>
      <c r="M89" s="66">
        <v>2</v>
      </c>
      <c r="N89" s="66">
        <v>2</v>
      </c>
      <c r="O89" s="66">
        <v>1.5</v>
      </c>
      <c r="P89" s="67">
        <v>1.5</v>
      </c>
      <c r="Q89" s="67">
        <v>1.5</v>
      </c>
      <c r="R89" s="66">
        <v>1.5</v>
      </c>
      <c r="S89" s="66">
        <v>1.5</v>
      </c>
      <c r="T89" s="66">
        <v>1.5</v>
      </c>
      <c r="U89" s="66">
        <v>1</v>
      </c>
      <c r="V89" s="66">
        <v>1</v>
      </c>
      <c r="W89" s="66">
        <v>1</v>
      </c>
      <c r="X89" s="66">
        <v>1</v>
      </c>
      <c r="Y89" s="66">
        <v>1</v>
      </c>
      <c r="Z89" s="66">
        <v>1</v>
      </c>
      <c r="AA89" s="52"/>
    </row>
    <row r="90" spans="2:33" s="4" customFormat="1" ht="20.25" customHeight="1" x14ac:dyDescent="0.25">
      <c r="B90" s="3"/>
      <c r="C90" s="5"/>
      <c r="D90" s="5"/>
      <c r="E90" s="65" t="s">
        <v>99</v>
      </c>
      <c r="F90" s="66">
        <f>F89*F88</f>
        <v>27</v>
      </c>
      <c r="G90" s="66">
        <f t="shared" ref="G90:Z90" si="14">G89*G88</f>
        <v>495</v>
      </c>
      <c r="H90" s="66">
        <f t="shared" si="14"/>
        <v>18</v>
      </c>
      <c r="I90" s="66">
        <f t="shared" si="14"/>
        <v>0</v>
      </c>
      <c r="J90" s="66">
        <f t="shared" si="14"/>
        <v>0</v>
      </c>
      <c r="K90" s="66">
        <f t="shared" si="14"/>
        <v>0</v>
      </c>
      <c r="L90" s="66">
        <f t="shared" si="14"/>
        <v>4</v>
      </c>
      <c r="M90" s="66">
        <f t="shared" si="14"/>
        <v>2</v>
      </c>
      <c r="N90" s="66">
        <f t="shared" si="14"/>
        <v>0</v>
      </c>
      <c r="O90" s="66">
        <f t="shared" si="14"/>
        <v>1.5</v>
      </c>
      <c r="P90" s="67">
        <f t="shared" si="14"/>
        <v>7.5</v>
      </c>
      <c r="Q90" s="67">
        <f t="shared" si="14"/>
        <v>6</v>
      </c>
      <c r="R90" s="67">
        <f t="shared" si="14"/>
        <v>0</v>
      </c>
      <c r="S90" s="67">
        <f t="shared" si="14"/>
        <v>0</v>
      </c>
      <c r="T90" s="67">
        <f t="shared" si="14"/>
        <v>0</v>
      </c>
      <c r="U90" s="66">
        <f t="shared" si="14"/>
        <v>1</v>
      </c>
      <c r="V90" s="66">
        <f t="shared" si="14"/>
        <v>1</v>
      </c>
      <c r="W90" s="66">
        <f t="shared" si="14"/>
        <v>1</v>
      </c>
      <c r="X90" s="66">
        <f t="shared" si="14"/>
        <v>1</v>
      </c>
      <c r="Y90" s="66">
        <f t="shared" si="14"/>
        <v>2</v>
      </c>
      <c r="Z90" s="66">
        <f t="shared" si="14"/>
        <v>0</v>
      </c>
      <c r="AA90" s="51"/>
    </row>
    <row r="91" spans="2:33" s="4" customFormat="1" ht="35.25" customHeight="1" x14ac:dyDescent="0.25">
      <c r="B91" s="3"/>
      <c r="C91" s="5"/>
      <c r="D91" s="5"/>
      <c r="E91" s="65" t="s">
        <v>100</v>
      </c>
      <c r="F91" s="68">
        <v>3000</v>
      </c>
      <c r="G91" s="68">
        <f>$F$91</f>
        <v>3000</v>
      </c>
      <c r="H91" s="68">
        <f t="shared" ref="H91:Z91" si="15">$F$91</f>
        <v>3000</v>
      </c>
      <c r="I91" s="68">
        <f t="shared" si="15"/>
        <v>3000</v>
      </c>
      <c r="J91" s="68">
        <f t="shared" si="15"/>
        <v>3000</v>
      </c>
      <c r="K91" s="68">
        <f t="shared" si="15"/>
        <v>3000</v>
      </c>
      <c r="L91" s="68">
        <f t="shared" si="15"/>
        <v>3000</v>
      </c>
      <c r="M91" s="68">
        <f t="shared" si="15"/>
        <v>3000</v>
      </c>
      <c r="N91" s="68">
        <f t="shared" si="15"/>
        <v>3000</v>
      </c>
      <c r="O91" s="68">
        <f t="shared" si="15"/>
        <v>3000</v>
      </c>
      <c r="P91" s="68">
        <f t="shared" si="15"/>
        <v>3000</v>
      </c>
      <c r="Q91" s="68">
        <f t="shared" si="15"/>
        <v>3000</v>
      </c>
      <c r="R91" s="68">
        <f t="shared" si="15"/>
        <v>3000</v>
      </c>
      <c r="S91" s="68">
        <f t="shared" si="15"/>
        <v>3000</v>
      </c>
      <c r="T91" s="68">
        <f t="shared" si="15"/>
        <v>3000</v>
      </c>
      <c r="U91" s="68">
        <f t="shared" si="15"/>
        <v>3000</v>
      </c>
      <c r="V91" s="68">
        <f t="shared" si="15"/>
        <v>3000</v>
      </c>
      <c r="W91" s="68">
        <f t="shared" si="15"/>
        <v>3000</v>
      </c>
      <c r="X91" s="68">
        <f t="shared" si="15"/>
        <v>3000</v>
      </c>
      <c r="Y91" s="68">
        <f t="shared" si="15"/>
        <v>3000</v>
      </c>
      <c r="Z91" s="68">
        <f t="shared" si="15"/>
        <v>3000</v>
      </c>
      <c r="AA91" s="6"/>
    </row>
    <row r="92" spans="2:33" s="4" customFormat="1" ht="37.5" customHeight="1" x14ac:dyDescent="0.25">
      <c r="B92" s="3"/>
      <c r="C92" s="5"/>
      <c r="D92" s="5"/>
      <c r="E92" s="69" t="s">
        <v>101</v>
      </c>
      <c r="F92" s="70">
        <f>F91*F90</f>
        <v>81000</v>
      </c>
      <c r="G92" s="70">
        <f t="shared" ref="G92:Z92" si="16">G91*G90</f>
        <v>1485000</v>
      </c>
      <c r="H92" s="70">
        <f t="shared" si="16"/>
        <v>54000</v>
      </c>
      <c r="I92" s="70">
        <f t="shared" si="16"/>
        <v>0</v>
      </c>
      <c r="J92" s="70">
        <f t="shared" si="16"/>
        <v>0</v>
      </c>
      <c r="K92" s="70">
        <f t="shared" si="16"/>
        <v>0</v>
      </c>
      <c r="L92" s="70">
        <f t="shared" si="16"/>
        <v>12000</v>
      </c>
      <c r="M92" s="70">
        <f t="shared" si="16"/>
        <v>6000</v>
      </c>
      <c r="N92" s="70">
        <f t="shared" si="16"/>
        <v>0</v>
      </c>
      <c r="O92" s="70">
        <f t="shared" si="16"/>
        <v>4500</v>
      </c>
      <c r="P92" s="70">
        <f t="shared" si="16"/>
        <v>22500</v>
      </c>
      <c r="Q92" s="70">
        <f t="shared" si="16"/>
        <v>18000</v>
      </c>
      <c r="R92" s="70">
        <f t="shared" si="16"/>
        <v>0</v>
      </c>
      <c r="S92" s="70">
        <f t="shared" si="16"/>
        <v>0</v>
      </c>
      <c r="T92" s="70">
        <f t="shared" si="16"/>
        <v>0</v>
      </c>
      <c r="U92" s="70">
        <f t="shared" si="16"/>
        <v>3000</v>
      </c>
      <c r="V92" s="70">
        <f t="shared" si="16"/>
        <v>3000</v>
      </c>
      <c r="W92" s="70">
        <f t="shared" si="16"/>
        <v>3000</v>
      </c>
      <c r="X92" s="70">
        <f t="shared" si="16"/>
        <v>3000</v>
      </c>
      <c r="Y92" s="70">
        <f t="shared" si="16"/>
        <v>6000</v>
      </c>
      <c r="Z92" s="70">
        <f t="shared" si="16"/>
        <v>0</v>
      </c>
      <c r="AA92" s="50"/>
    </row>
    <row r="94" spans="2:33" ht="20.25" customHeight="1" x14ac:dyDescent="0.25">
      <c r="C94" s="12"/>
      <c r="D94" s="12"/>
      <c r="E94" s="47" t="s">
        <v>102</v>
      </c>
      <c r="F94" s="45">
        <f>((9.24*1423500)+(500*3))</f>
        <v>13154640</v>
      </c>
      <c r="G94" s="45">
        <f>(9.24*1423500+(500*3))</f>
        <v>13154640</v>
      </c>
      <c r="H94" s="45">
        <f>(9.24*1423500+(500*3))</f>
        <v>13154640</v>
      </c>
      <c r="I94" s="45">
        <f>(9.29*1423500+(500*3))</f>
        <v>13225814.999999998</v>
      </c>
      <c r="J94" s="45">
        <f>(9.29*1423500+(500*3))/30*20</f>
        <v>8817209.9999999981</v>
      </c>
      <c r="K94" s="45">
        <f>(9.29*1423500+(500*3))/30*24</f>
        <v>10580651.999999998</v>
      </c>
      <c r="L94" s="45">
        <f>(((9.24*1423500+(500*3))*55.97%)+((9.24*1423500+(500*3))*44.03%/9*1))</f>
        <v>8006206.2293333327</v>
      </c>
      <c r="M94" s="45">
        <f>(((9.24*1423500+(500*3))*55.97%)+((9.24*1423500+(500*3))*44.03%/9*1))/30*20</f>
        <v>5337470.8195555545</v>
      </c>
      <c r="N94" s="45">
        <f>(((9.29*1423500+(500*3))*55.97%)+((9.29*1423500+(500*3))*44.03%/9*1))/30*24</f>
        <v>6439619.9327999987</v>
      </c>
      <c r="O94" s="45">
        <f>((9.24*1423500+(500*3))*55.97%/15*12)</f>
        <v>5890121.6063999999</v>
      </c>
      <c r="P94" s="45">
        <f>((9.24*1423500+(500*3))*55.97%/15*12)/30*20</f>
        <v>3926747.7376000001</v>
      </c>
      <c r="Q94" s="45">
        <f>((9.24*1423500+(500*3))*55.97%/15*12)/30*24</f>
        <v>4712097.2851200001</v>
      </c>
      <c r="R94" s="45">
        <f>(((9.29*1423500+(500*3))*55.97%/15*3)+((9.29*1423500+(500*3))*44.03%/9*9))</f>
        <v>7303824.0755999992</v>
      </c>
      <c r="S94" s="45">
        <f>((((9.29*1423500+(500*3))*55.97%/15*3)+((9.29*1423500+(500*3))*44.03%/9*9))/30)*24</f>
        <v>5843059.2604799997</v>
      </c>
      <c r="T94" s="45">
        <f>(((9.29*1423500+(500*3))*55.97%/15*3)+((9.29*1423500+(500*3))*44.03%/9*9))</f>
        <v>7303824.0755999992</v>
      </c>
      <c r="U94" s="45">
        <f>((9.24*1423500+(500*3))*44.03%/9*8)</f>
        <v>5148433.7706666673</v>
      </c>
      <c r="V94" s="45">
        <f>((9.24*1423500+(500*3))*44.03%/9*8)</f>
        <v>5148433.7706666673</v>
      </c>
      <c r="W94" s="45">
        <f>(9.24*1423500+(500*3))*44.03%/9*8/30*20</f>
        <v>3432289.1804444445</v>
      </c>
      <c r="X94" s="45">
        <f>(9.24*1423500+(500*3))*55.97%/15*8/30*24</f>
        <v>3141398.1900799996</v>
      </c>
      <c r="Y94" s="45">
        <f>(9.24*1423500+(500*3))*55.97%/15*8/30*20</f>
        <v>2617831.8250666661</v>
      </c>
      <c r="Z94" s="45">
        <f>((9.24*1423500+(500*3))*55.97%/15*8)</f>
        <v>3926747.7375999996</v>
      </c>
      <c r="AB94" s="45">
        <v>11227</v>
      </c>
      <c r="AC94" s="45">
        <v>43635</v>
      </c>
      <c r="AD94" s="45">
        <v>55898</v>
      </c>
      <c r="AE94" s="45">
        <v>40588</v>
      </c>
      <c r="AF94" s="45">
        <v>127990</v>
      </c>
      <c r="AG94" s="45">
        <v>43069</v>
      </c>
    </row>
    <row r="95" spans="2:33" ht="20.25" customHeight="1" x14ac:dyDescent="0.25">
      <c r="C95" s="12"/>
      <c r="D95" s="12"/>
      <c r="E95" s="47" t="s">
        <v>103</v>
      </c>
      <c r="F95" s="45">
        <f>+F94*0.1</f>
        <v>1315464</v>
      </c>
      <c r="G95" s="45">
        <f>+G94*0.08</f>
        <v>1052371.2</v>
      </c>
      <c r="H95" s="45">
        <f t="shared" ref="H95:Z95" si="17">+H94*0.08</f>
        <v>1052371.2</v>
      </c>
      <c r="I95" s="45">
        <f>+I94*0.11</f>
        <v>1454839.65</v>
      </c>
      <c r="J95" s="45">
        <f t="shared" si="17"/>
        <v>705376.79999999981</v>
      </c>
      <c r="K95" s="45">
        <f t="shared" si="17"/>
        <v>846452.15999999992</v>
      </c>
      <c r="L95" s="45">
        <f t="shared" si="17"/>
        <v>640496.49834666669</v>
      </c>
      <c r="M95" s="45">
        <f t="shared" si="17"/>
        <v>426997.66556444438</v>
      </c>
      <c r="N95" s="45">
        <f t="shared" si="17"/>
        <v>515169.5946239999</v>
      </c>
      <c r="O95" s="45">
        <f t="shared" si="17"/>
        <v>471209.728512</v>
      </c>
      <c r="P95" s="45">
        <f t="shared" si="17"/>
        <v>314139.81900800002</v>
      </c>
      <c r="Q95" s="45">
        <f t="shared" si="17"/>
        <v>376967.7828096</v>
      </c>
      <c r="R95" s="45">
        <f t="shared" si="17"/>
        <v>584305.92604799999</v>
      </c>
      <c r="S95" s="45">
        <f t="shared" si="17"/>
        <v>467444.74083839997</v>
      </c>
      <c r="T95" s="45">
        <f>+T94*0.1</f>
        <v>730382.40755999996</v>
      </c>
      <c r="U95" s="45">
        <f>+U94*0.1</f>
        <v>514843.37706666673</v>
      </c>
      <c r="V95" s="45">
        <f t="shared" si="17"/>
        <v>411874.70165333338</v>
      </c>
      <c r="W95" s="45">
        <f t="shared" si="17"/>
        <v>274583.13443555555</v>
      </c>
      <c r="X95" s="45">
        <f t="shared" si="17"/>
        <v>251311.85520639998</v>
      </c>
      <c r="Y95" s="45">
        <f t="shared" si="17"/>
        <v>209426.54600533331</v>
      </c>
      <c r="Z95" s="45">
        <f t="shared" si="17"/>
        <v>314139.81900799996</v>
      </c>
      <c r="AB95" s="45">
        <v>0</v>
      </c>
      <c r="AC95" s="45">
        <v>0</v>
      </c>
      <c r="AD95" s="45">
        <v>0</v>
      </c>
      <c r="AE95" s="45">
        <v>0</v>
      </c>
      <c r="AF95" s="45">
        <v>0</v>
      </c>
      <c r="AG95" s="45">
        <v>0</v>
      </c>
    </row>
    <row r="96" spans="2:33" ht="20.25" customHeight="1" x14ac:dyDescent="0.25">
      <c r="C96" s="12"/>
      <c r="D96" s="12"/>
      <c r="E96" s="47" t="s">
        <v>104</v>
      </c>
      <c r="F96" s="45">
        <f>+(F94+F95)*0.019</f>
        <v>274931.97599999997</v>
      </c>
      <c r="G96" s="45">
        <f t="shared" ref="G96:Z96" si="18">+(G94+G95)*0.019</f>
        <v>269933.21279999998</v>
      </c>
      <c r="H96" s="45">
        <f t="shared" si="18"/>
        <v>269933.21279999998</v>
      </c>
      <c r="I96" s="45">
        <f t="shared" si="18"/>
        <v>278932.43834999995</v>
      </c>
      <c r="J96" s="45">
        <f t="shared" si="18"/>
        <v>180929.14919999993</v>
      </c>
      <c r="K96" s="45">
        <f t="shared" si="18"/>
        <v>217114.97903999998</v>
      </c>
      <c r="L96" s="45">
        <f t="shared" si="18"/>
        <v>164287.35182591999</v>
      </c>
      <c r="M96" s="45">
        <f t="shared" si="18"/>
        <v>109524.90121727997</v>
      </c>
      <c r="N96" s="45">
        <f t="shared" si="18"/>
        <v>132141.00102105597</v>
      </c>
      <c r="O96" s="45">
        <f t="shared" si="18"/>
        <v>120865.295363328</v>
      </c>
      <c r="P96" s="45">
        <f t="shared" si="18"/>
        <v>80576.863575551994</v>
      </c>
      <c r="Q96" s="45">
        <f t="shared" si="18"/>
        <v>96692.236290662404</v>
      </c>
      <c r="R96" s="45">
        <f t="shared" si="18"/>
        <v>149874.470031312</v>
      </c>
      <c r="S96" s="45">
        <f t="shared" si="18"/>
        <v>119899.5760250496</v>
      </c>
      <c r="T96" s="45">
        <f t="shared" si="18"/>
        <v>152649.92318003997</v>
      </c>
      <c r="U96" s="45">
        <f t="shared" si="18"/>
        <v>107602.26580693336</v>
      </c>
      <c r="V96" s="45">
        <f t="shared" si="18"/>
        <v>105645.86097408002</v>
      </c>
      <c r="W96" s="45">
        <f t="shared" si="18"/>
        <v>70430.573982720001</v>
      </c>
      <c r="X96" s="45">
        <f t="shared" si="18"/>
        <v>64461.490860441598</v>
      </c>
      <c r="Y96" s="45">
        <f t="shared" si="18"/>
        <v>53717.909050367991</v>
      </c>
      <c r="Z96" s="45">
        <f t="shared" si="18"/>
        <v>80576.863575551994</v>
      </c>
      <c r="AB96" s="45">
        <f>+AB94*0.19</f>
        <v>2133.13</v>
      </c>
      <c r="AC96" s="45">
        <f t="shared" ref="AC96:AG96" si="19">+AC94*0.19</f>
        <v>8290.65</v>
      </c>
      <c r="AD96" s="45">
        <f t="shared" si="19"/>
        <v>10620.62</v>
      </c>
      <c r="AE96" s="45">
        <f t="shared" si="19"/>
        <v>7711.72</v>
      </c>
      <c r="AF96" s="45">
        <f t="shared" si="19"/>
        <v>24318.1</v>
      </c>
      <c r="AG96" s="45">
        <f t="shared" si="19"/>
        <v>8183.11</v>
      </c>
    </row>
    <row r="97" spans="2:33" ht="20.25" customHeight="1" x14ac:dyDescent="0.25">
      <c r="C97" s="12"/>
      <c r="D97" s="12"/>
      <c r="E97" s="48" t="s">
        <v>105</v>
      </c>
      <c r="F97" s="49">
        <f>+F94+F95+F96</f>
        <v>14745035.976</v>
      </c>
      <c r="G97" s="49">
        <f>+G94+G95+G96</f>
        <v>14476944.412799999</v>
      </c>
      <c r="H97" s="49">
        <f t="shared" ref="H97:Z97" si="20">+H94+H95+H96</f>
        <v>14476944.412799999</v>
      </c>
      <c r="I97" s="49">
        <f t="shared" si="20"/>
        <v>14959587.088349998</v>
      </c>
      <c r="J97" s="49">
        <f t="shared" si="20"/>
        <v>9703515.9491999969</v>
      </c>
      <c r="K97" s="49">
        <f t="shared" si="20"/>
        <v>11644219.139039999</v>
      </c>
      <c r="L97" s="49">
        <f>+L94+L95+L96</f>
        <v>8810990.0795059204</v>
      </c>
      <c r="M97" s="49">
        <f t="shared" si="20"/>
        <v>5873993.3863372784</v>
      </c>
      <c r="N97" s="49">
        <f t="shared" si="20"/>
        <v>7086930.5284450538</v>
      </c>
      <c r="O97" s="49">
        <f t="shared" si="20"/>
        <v>6482196.6302753286</v>
      </c>
      <c r="P97" s="49">
        <f t="shared" si="20"/>
        <v>4321464.4201835515</v>
      </c>
      <c r="Q97" s="49">
        <f t="shared" si="20"/>
        <v>5185757.3042202629</v>
      </c>
      <c r="R97" s="49">
        <f t="shared" si="20"/>
        <v>8038004.4716793112</v>
      </c>
      <c r="S97" s="49">
        <f t="shared" si="20"/>
        <v>6430403.577343449</v>
      </c>
      <c r="T97" s="49">
        <f t="shared" si="20"/>
        <v>8186856.4063400393</v>
      </c>
      <c r="U97" s="49">
        <f t="shared" si="20"/>
        <v>5770879.4135402674</v>
      </c>
      <c r="V97" s="49">
        <f t="shared" si="20"/>
        <v>5665954.3332940806</v>
      </c>
      <c r="W97" s="49">
        <f t="shared" si="20"/>
        <v>3777302.8888627198</v>
      </c>
      <c r="X97" s="49">
        <f t="shared" si="20"/>
        <v>3457171.5361468415</v>
      </c>
      <c r="Y97" s="49">
        <f t="shared" si="20"/>
        <v>2880976.2801223672</v>
      </c>
      <c r="Z97" s="49">
        <f t="shared" si="20"/>
        <v>4321464.4201835515</v>
      </c>
      <c r="AB97" s="44">
        <f>+AB94+AB96</f>
        <v>13360.130000000001</v>
      </c>
      <c r="AC97" s="44">
        <f t="shared" ref="AC97:AG97" si="21">+AC94+AC96</f>
        <v>51925.65</v>
      </c>
      <c r="AD97" s="44">
        <f t="shared" si="21"/>
        <v>66518.62</v>
      </c>
      <c r="AE97" s="44">
        <f t="shared" si="21"/>
        <v>48299.72</v>
      </c>
      <c r="AF97" s="44">
        <f t="shared" si="21"/>
        <v>152308.1</v>
      </c>
      <c r="AG97" s="44">
        <f t="shared" si="21"/>
        <v>51252.11</v>
      </c>
    </row>
    <row r="99" spans="2:33" ht="18" customHeight="1" x14ac:dyDescent="0.25">
      <c r="C99" s="12"/>
      <c r="D99" s="12"/>
      <c r="E99" s="74" t="s">
        <v>106</v>
      </c>
      <c r="F99" s="75">
        <f>+F88*(F$94+F$95)</f>
        <v>130230936</v>
      </c>
      <c r="G99" s="75">
        <f>+(G88)*(G$94+G$95)</f>
        <v>2344156848</v>
      </c>
      <c r="H99" s="75">
        <f>+H88*(H$94+H$95)</f>
        <v>85242067.199999988</v>
      </c>
      <c r="I99" s="75">
        <f t="shared" ref="I99:Z99" si="22">+I88*(I$94+I$95)</f>
        <v>0</v>
      </c>
      <c r="J99" s="75">
        <f t="shared" si="22"/>
        <v>0</v>
      </c>
      <c r="K99" s="75">
        <f t="shared" si="22"/>
        <v>0</v>
      </c>
      <c r="L99" s="75">
        <f t="shared" si="22"/>
        <v>17293405.455359999</v>
      </c>
      <c r="M99" s="75">
        <f>+M88*(M$94+M$95)</f>
        <v>5764468.4851199985</v>
      </c>
      <c r="N99" s="75">
        <f t="shared" si="22"/>
        <v>0</v>
      </c>
      <c r="O99" s="75">
        <f t="shared" si="22"/>
        <v>6361331.3349120002</v>
      </c>
      <c r="P99" s="75">
        <f t="shared" si="22"/>
        <v>21204437.783039998</v>
      </c>
      <c r="Q99" s="75">
        <f t="shared" si="22"/>
        <v>20356260.271718401</v>
      </c>
      <c r="R99" s="75">
        <f t="shared" si="22"/>
        <v>0</v>
      </c>
      <c r="S99" s="75">
        <f t="shared" si="22"/>
        <v>0</v>
      </c>
      <c r="T99" s="75">
        <f t="shared" si="22"/>
        <v>0</v>
      </c>
      <c r="U99" s="75">
        <f t="shared" si="22"/>
        <v>5663277.1477333345</v>
      </c>
      <c r="V99" s="75">
        <f t="shared" si="22"/>
        <v>5560308.4723200006</v>
      </c>
      <c r="W99" s="75">
        <f t="shared" si="22"/>
        <v>3706872.31488</v>
      </c>
      <c r="X99" s="75">
        <f t="shared" si="22"/>
        <v>3392710.0452863998</v>
      </c>
      <c r="Y99" s="75">
        <f t="shared" si="22"/>
        <v>5654516.7421439989</v>
      </c>
      <c r="Z99" s="75">
        <f t="shared" si="22"/>
        <v>0</v>
      </c>
      <c r="AA99" s="10"/>
      <c r="AB99" s="76">
        <f>+AB88*(AB94+AB95)</f>
        <v>9913441</v>
      </c>
      <c r="AC99" s="76">
        <f t="shared" ref="AC99:AG99" si="23">+AC88*(AC94+AC95)</f>
        <v>2574465</v>
      </c>
      <c r="AD99" s="76">
        <f t="shared" si="23"/>
        <v>3409778</v>
      </c>
      <c r="AE99" s="76">
        <f t="shared" si="23"/>
        <v>2394692</v>
      </c>
      <c r="AF99" s="76">
        <f t="shared" si="23"/>
        <v>2047840</v>
      </c>
      <c r="AG99" s="76">
        <f t="shared" si="23"/>
        <v>4048486</v>
      </c>
    </row>
    <row r="100" spans="2:33" s="12" customFormat="1" ht="18" customHeight="1" x14ac:dyDescent="0.25">
      <c r="E100" s="74" t="s">
        <v>107</v>
      </c>
      <c r="F100" s="75">
        <f>(F$96*F88)</f>
        <v>2474387.7839999995</v>
      </c>
      <c r="G100" s="75">
        <f>(G$96*(G88))</f>
        <v>44538980.111999996</v>
      </c>
      <c r="H100" s="75">
        <f t="shared" ref="H100:Z100" si="24">(H$96*H88)</f>
        <v>1619599.2767999999</v>
      </c>
      <c r="I100" s="75">
        <f t="shared" si="24"/>
        <v>0</v>
      </c>
      <c r="J100" s="75">
        <f t="shared" si="24"/>
        <v>0</v>
      </c>
      <c r="K100" s="75">
        <f t="shared" si="24"/>
        <v>0</v>
      </c>
      <c r="L100" s="75">
        <f t="shared" si="24"/>
        <v>328574.70365183998</v>
      </c>
      <c r="M100" s="75">
        <f t="shared" si="24"/>
        <v>109524.90121727997</v>
      </c>
      <c r="N100" s="75">
        <f t="shared" si="24"/>
        <v>0</v>
      </c>
      <c r="O100" s="75">
        <f t="shared" si="24"/>
        <v>120865.295363328</v>
      </c>
      <c r="P100" s="75">
        <f t="shared" si="24"/>
        <v>402884.31787775998</v>
      </c>
      <c r="Q100" s="75">
        <f t="shared" si="24"/>
        <v>386768.94516264962</v>
      </c>
      <c r="R100" s="75">
        <f t="shared" si="24"/>
        <v>0</v>
      </c>
      <c r="S100" s="75">
        <f t="shared" si="24"/>
        <v>0</v>
      </c>
      <c r="T100" s="75">
        <f t="shared" si="24"/>
        <v>0</v>
      </c>
      <c r="U100" s="75">
        <f t="shared" si="24"/>
        <v>107602.26580693336</v>
      </c>
      <c r="V100" s="75">
        <f t="shared" si="24"/>
        <v>105645.86097408002</v>
      </c>
      <c r="W100" s="75">
        <f t="shared" si="24"/>
        <v>70430.573982720001</v>
      </c>
      <c r="X100" s="75">
        <f t="shared" si="24"/>
        <v>64461.490860441598</v>
      </c>
      <c r="Y100" s="75">
        <f t="shared" si="24"/>
        <v>107435.81810073598</v>
      </c>
      <c r="Z100" s="75">
        <f t="shared" si="24"/>
        <v>0</v>
      </c>
      <c r="AA100" s="11"/>
      <c r="AB100" s="76">
        <f t="shared" ref="AB100:AG100" si="25">+ROUND(((AB12+AB18+AB33+AB49+AB57+AB86)*AB96),0)</f>
        <v>1883554</v>
      </c>
      <c r="AC100" s="76">
        <f t="shared" si="25"/>
        <v>489148</v>
      </c>
      <c r="AD100" s="76">
        <f t="shared" si="25"/>
        <v>647858</v>
      </c>
      <c r="AE100" s="76">
        <f t="shared" si="25"/>
        <v>454991</v>
      </c>
      <c r="AF100" s="76">
        <f t="shared" si="25"/>
        <v>389090</v>
      </c>
      <c r="AG100" s="76">
        <f t="shared" si="25"/>
        <v>769212</v>
      </c>
    </row>
    <row r="101" spans="2:33" s="12" customFormat="1" ht="18" customHeight="1" x14ac:dyDescent="0.25">
      <c r="B101" s="46"/>
      <c r="C101" s="46"/>
      <c r="D101" s="46"/>
      <c r="E101" s="73" t="s">
        <v>200</v>
      </c>
      <c r="F101" s="78">
        <f>+F99+F100</f>
        <v>132705323.78399999</v>
      </c>
      <c r="G101" s="78">
        <f>+G99+G100</f>
        <v>2388695828.112</v>
      </c>
      <c r="H101" s="78">
        <f t="shared" ref="H101:Y101" si="26">+H99+H100</f>
        <v>86861666.476799995</v>
      </c>
      <c r="I101" s="78">
        <f t="shared" si="26"/>
        <v>0</v>
      </c>
      <c r="J101" s="78">
        <f t="shared" si="26"/>
        <v>0</v>
      </c>
      <c r="K101" s="78">
        <f t="shared" si="26"/>
        <v>0</v>
      </c>
      <c r="L101" s="78">
        <f t="shared" si="26"/>
        <v>17621980.159011841</v>
      </c>
      <c r="M101" s="78">
        <f>+M99+M100</f>
        <v>5873993.3863372784</v>
      </c>
      <c r="N101" s="78">
        <f t="shared" si="26"/>
        <v>0</v>
      </c>
      <c r="O101" s="78">
        <f t="shared" si="26"/>
        <v>6482196.6302753286</v>
      </c>
      <c r="P101" s="78">
        <f t="shared" si="26"/>
        <v>21607322.100917757</v>
      </c>
      <c r="Q101" s="78">
        <f t="shared" si="26"/>
        <v>20743029.216881052</v>
      </c>
      <c r="R101" s="78">
        <f t="shared" si="26"/>
        <v>0</v>
      </c>
      <c r="S101" s="78">
        <f t="shared" si="26"/>
        <v>0</v>
      </c>
      <c r="T101" s="78">
        <f t="shared" si="26"/>
        <v>0</v>
      </c>
      <c r="U101" s="78">
        <f t="shared" si="26"/>
        <v>5770879.4135402674</v>
      </c>
      <c r="V101" s="78">
        <f t="shared" si="26"/>
        <v>5665954.3332940806</v>
      </c>
      <c r="W101" s="78">
        <f t="shared" si="26"/>
        <v>3777302.8888627198</v>
      </c>
      <c r="X101" s="78">
        <f t="shared" si="26"/>
        <v>3457171.5361468415</v>
      </c>
      <c r="Y101" s="78">
        <f t="shared" si="26"/>
        <v>5761952.5602447344</v>
      </c>
      <c r="Z101" s="78">
        <f>+Z99+Z100</f>
        <v>0</v>
      </c>
      <c r="AA101" s="11"/>
      <c r="AB101" s="77">
        <f>+AB99+AB100</f>
        <v>11796995</v>
      </c>
      <c r="AC101" s="77">
        <f t="shared" ref="AC101:AG101" si="27">+AC99+AC100</f>
        <v>3063613</v>
      </c>
      <c r="AD101" s="77">
        <f t="shared" si="27"/>
        <v>4057636</v>
      </c>
      <c r="AE101" s="77">
        <f t="shared" si="27"/>
        <v>2849683</v>
      </c>
      <c r="AF101" s="77">
        <f t="shared" si="27"/>
        <v>2436930</v>
      </c>
      <c r="AG101" s="77">
        <f t="shared" si="27"/>
        <v>4817698</v>
      </c>
    </row>
    <row r="102" spans="2:33" ht="17.25" customHeight="1" x14ac:dyDescent="0.25">
      <c r="D102" s="13"/>
      <c r="E102" s="14"/>
      <c r="F102" s="15"/>
      <c r="G102" s="16"/>
      <c r="H102" s="16"/>
      <c r="I102" s="16"/>
      <c r="J102" s="16"/>
      <c r="K102" s="16"/>
      <c r="L102" s="16"/>
      <c r="M102" s="16"/>
      <c r="O102" s="17"/>
      <c r="W102" s="18"/>
      <c r="Y102" s="71"/>
      <c r="Z102" s="72"/>
      <c r="AA102" s="19"/>
      <c r="AB102" s="71"/>
      <c r="AC102" s="72"/>
    </row>
    <row r="103" spans="2:33" ht="31.5" x14ac:dyDescent="0.25">
      <c r="C103" s="79" t="s">
        <v>108</v>
      </c>
      <c r="D103" s="79" t="s">
        <v>109</v>
      </c>
    </row>
    <row r="104" spans="2:33" ht="22.5" customHeight="1" x14ac:dyDescent="0.25">
      <c r="C104" s="63">
        <f>+AA11+AA17+AA32+AA48+AA56+AA85</f>
        <v>2705024600.5983114</v>
      </c>
      <c r="D104" s="63">
        <f>SUM(AB101:AG101)</f>
        <v>29022555</v>
      </c>
    </row>
    <row r="105" spans="2:33" ht="27" customHeight="1" x14ac:dyDescent="0.25"/>
    <row r="106" spans="2:33" ht="55.5" customHeight="1" x14ac:dyDescent="0.25">
      <c r="C106" s="80" t="s">
        <v>0</v>
      </c>
      <c r="D106" s="80" t="s">
        <v>110</v>
      </c>
      <c r="E106" s="80" t="s">
        <v>111</v>
      </c>
      <c r="F106" s="80" t="s">
        <v>203</v>
      </c>
      <c r="G106" s="80" t="s">
        <v>112</v>
      </c>
      <c r="K106" s="20"/>
      <c r="L106" s="20"/>
      <c r="Y106" s="7"/>
    </row>
    <row r="107" spans="2:33" ht="20.25" customHeight="1" x14ac:dyDescent="0.25">
      <c r="C107" s="59" t="s">
        <v>113</v>
      </c>
      <c r="D107" s="60">
        <f>(AA11/30)*14</f>
        <v>116463772.39174853</v>
      </c>
      <c r="E107" s="60">
        <f>+(((AB12*AB97)+(AC12*AC97)+(AD12*AD97)+(AE12*AE97)+(AF12*AF97)+(AG12*AG97)))/((30))*(14)</f>
        <v>1221608.9386666669</v>
      </c>
      <c r="F107" s="61">
        <f>+E107*0.052</f>
        <v>63523.664810666676</v>
      </c>
      <c r="G107" s="60">
        <f t="shared" ref="G107:G113" si="28">SUM(D107:F107)</f>
        <v>117748904.99522588</v>
      </c>
      <c r="K107" s="21"/>
      <c r="L107" s="20"/>
      <c r="Y107" s="7"/>
    </row>
    <row r="108" spans="2:33" ht="20.25" customHeight="1" x14ac:dyDescent="0.25">
      <c r="C108" s="59" t="s">
        <v>42</v>
      </c>
      <c r="D108" s="60">
        <f>(AA17/30)*14</f>
        <v>119686734.5628545</v>
      </c>
      <c r="E108" s="60">
        <f>+(((AB18*AB97)+(AC18*AC97)+(AD18*AD97)+(AE18*AE97)+(AF18*AF97)+(AG18*AG97)))/((30))*14</f>
        <v>1083271.5180000002</v>
      </c>
      <c r="F108" s="61">
        <f t="shared" ref="F108:F112" si="29">+E108*0.052</f>
        <v>56330.118936000006</v>
      </c>
      <c r="G108" s="60">
        <f t="shared" si="28"/>
        <v>120826336.19979051</v>
      </c>
      <c r="K108" s="21"/>
      <c r="L108" s="20"/>
      <c r="Y108" s="7"/>
    </row>
    <row r="109" spans="2:33" ht="20.25" customHeight="1" x14ac:dyDescent="0.25">
      <c r="C109" s="59" t="s">
        <v>50</v>
      </c>
      <c r="D109" s="60">
        <f>(AA32/30)*14</f>
        <v>176762750.06073403</v>
      </c>
      <c r="E109" s="60">
        <f>+(((AB33*AB97)+(AC33*AC97)+(AD33*AD97)+(AE33*AE97)+(AF33*AF97)+(AG33*AG97)))/((30))*14</f>
        <v>1963334.9073333335</v>
      </c>
      <c r="F109" s="61">
        <f t="shared" si="29"/>
        <v>102093.41518133334</v>
      </c>
      <c r="G109" s="60">
        <f t="shared" si="28"/>
        <v>178828178.38324872</v>
      </c>
      <c r="K109" s="21"/>
      <c r="L109" s="20"/>
      <c r="M109" s="43"/>
      <c r="N109" s="43"/>
      <c r="O109" s="93"/>
      <c r="Y109" s="7"/>
    </row>
    <row r="110" spans="2:33" ht="20.25" customHeight="1" x14ac:dyDescent="0.25">
      <c r="C110" s="59" t="s">
        <v>114</v>
      </c>
      <c r="D110" s="60">
        <f>(AA48/30)*14</f>
        <v>197366586.13800162</v>
      </c>
      <c r="E110" s="60">
        <f>+(((AB49*AB97)+(AC49*AC97)+(AD49*AD97)+(AE49*AE97)+(AF49*AF97)+(AG49*AG97)))/((30))*14</f>
        <v>1729763.3733333333</v>
      </c>
      <c r="F110" s="61">
        <f t="shared" si="29"/>
        <v>89947.69541333332</v>
      </c>
      <c r="G110" s="60">
        <f t="shared" si="28"/>
        <v>199186297.20674828</v>
      </c>
      <c r="K110" s="21"/>
      <c r="L110" s="20"/>
      <c r="Y110" s="7"/>
    </row>
    <row r="111" spans="2:33" ht="20.25" customHeight="1" x14ac:dyDescent="0.25">
      <c r="C111" s="59" t="s">
        <v>75</v>
      </c>
      <c r="D111" s="60">
        <f>(AA56/30)*14</f>
        <v>186442866.3934513</v>
      </c>
      <c r="E111" s="60">
        <f>+(((AB57*AB97)+(AC57*AC97)+(AD57*AD97)+(AE57*AE97)+(AF57*AF97)+(AG57*AG97)))/((30))*14</f>
        <v>1447722.9013333335</v>
      </c>
      <c r="F111" s="61">
        <f t="shared" si="29"/>
        <v>75281.590869333333</v>
      </c>
      <c r="G111" s="60">
        <f t="shared" si="28"/>
        <v>187965870.88565397</v>
      </c>
      <c r="K111" s="21"/>
      <c r="L111" s="94"/>
      <c r="Y111" s="7"/>
    </row>
    <row r="112" spans="2:33" ht="20.25" customHeight="1" x14ac:dyDescent="0.25">
      <c r="C112" s="59" t="s">
        <v>78</v>
      </c>
      <c r="D112" s="60">
        <f>(AA85/30)*14</f>
        <v>465622104.06575543</v>
      </c>
      <c r="E112" s="60">
        <f>+(((AB86*AB97)+(AC86*AC97)+(AD86*AD97)+(AE86*AE97)+(AF86*AF97)+(AG86*AG97)))/((30))*14</f>
        <v>6098157.5386666674</v>
      </c>
      <c r="F112" s="61">
        <f t="shared" si="29"/>
        <v>317104.19201066671</v>
      </c>
      <c r="G112" s="60">
        <f t="shared" si="28"/>
        <v>472037365.79643273</v>
      </c>
      <c r="K112" s="21"/>
      <c r="L112" s="20"/>
      <c r="Y112" s="7"/>
    </row>
    <row r="113" spans="3:25" ht="20.25" customHeight="1" x14ac:dyDescent="0.25">
      <c r="C113" s="64" t="s">
        <v>115</v>
      </c>
      <c r="D113" s="62">
        <f>SUM(D107:D112)</f>
        <v>1262344813.6125455</v>
      </c>
      <c r="E113" s="62">
        <f>SUM(E107:E112)</f>
        <v>13543859.177333334</v>
      </c>
      <c r="F113" s="62">
        <f>SUM(F107:F112)</f>
        <v>704280.67722133338</v>
      </c>
      <c r="G113" s="62">
        <f t="shared" si="28"/>
        <v>1276592953.4671001</v>
      </c>
      <c r="K113" s="20"/>
      <c r="L113" s="20"/>
      <c r="U113" s="9">
        <f>+D113+E113</f>
        <v>1275888672.7898788</v>
      </c>
      <c r="V113" s="9">
        <f>+'[1]MEDIOS X MUN'!$G$91</f>
        <v>1275182674.5379002</v>
      </c>
      <c r="W113" s="9">
        <f>+U113-V113</f>
        <v>705998.25197863579</v>
      </c>
      <c r="Y113" s="7"/>
    </row>
    <row r="114" spans="3:25" x14ac:dyDescent="0.25">
      <c r="L114" s="95"/>
    </row>
    <row r="115" spans="3:25" x14ac:dyDescent="0.25">
      <c r="D115" s="108"/>
      <c r="L115" s="95"/>
    </row>
    <row r="116" spans="3:25" x14ac:dyDescent="0.25">
      <c r="E116" s="108"/>
    </row>
    <row r="118" spans="3:25" x14ac:dyDescent="0.25">
      <c r="D118" s="110"/>
    </row>
    <row r="119" spans="3:25" x14ac:dyDescent="0.25">
      <c r="D119" s="110"/>
    </row>
  </sheetData>
  <mergeCells count="6">
    <mergeCell ref="B86:E86"/>
    <mergeCell ref="B12:E12"/>
    <mergeCell ref="B18:E18"/>
    <mergeCell ref="B33:E33"/>
    <mergeCell ref="B49:E49"/>
    <mergeCell ref="B57:E57"/>
  </mergeCells>
  <pageMargins left="0.27559055118110237" right="0.31496062992125984" top="0.74803149606299213" bottom="0.74803149606299213" header="0.31496062992125984" footer="0.31496062992125984"/>
  <pageSetup paperSize="14" scale="50" orientation="landscape" r:id="rId1"/>
  <ignoredErrors>
    <ignoredError sqref="G91:Z91 AA49 G99:G100" 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H115"/>
  <sheetViews>
    <sheetView showGridLines="0" zoomScale="90" zoomScaleNormal="90" workbookViewId="0">
      <pane xSplit="5" ySplit="1" topLeftCell="W77" activePane="bottomRight" state="frozen"/>
      <selection pane="topRight" activeCell="F1" sqref="F1"/>
      <selection pane="bottomLeft" activeCell="A2" sqref="A2"/>
      <selection pane="bottomRight" activeCell="AA84" sqref="AA84"/>
    </sheetView>
  </sheetViews>
  <sheetFormatPr baseColWidth="10" defaultColWidth="9.140625" defaultRowHeight="12.75" x14ac:dyDescent="0.25"/>
  <cols>
    <col min="1" max="1" width="2.5703125" style="7" customWidth="1"/>
    <col min="2" max="2" width="12.85546875" style="12" customWidth="1"/>
    <col min="3" max="3" width="34" style="8" customWidth="1"/>
    <col min="4" max="4" width="29.85546875" style="8" customWidth="1"/>
    <col min="5" max="5" width="21.85546875" style="8" customWidth="1"/>
    <col min="6" max="6" width="22.7109375" style="9" customWidth="1"/>
    <col min="7" max="7" width="19.28515625" style="9" customWidth="1"/>
    <col min="8" max="8" width="17.140625" style="9" customWidth="1"/>
    <col min="9" max="9" width="17.140625" style="9" hidden="1" customWidth="1"/>
    <col min="10" max="10" width="20.42578125" style="9" hidden="1" customWidth="1"/>
    <col min="11" max="11" width="21.42578125" style="9" hidden="1" customWidth="1"/>
    <col min="12" max="12" width="16.7109375" style="9" customWidth="1"/>
    <col min="13" max="13" width="17.42578125" style="9" customWidth="1"/>
    <col min="14" max="14" width="13.7109375" style="9" hidden="1" customWidth="1"/>
    <col min="15" max="15" width="16" style="9" customWidth="1"/>
    <col min="16" max="16" width="19" style="9" customWidth="1"/>
    <col min="17" max="17" width="17.42578125" style="9" customWidth="1"/>
    <col min="18" max="18" width="17.5703125" style="9" hidden="1" customWidth="1"/>
    <col min="19" max="19" width="18" style="9" hidden="1" customWidth="1"/>
    <col min="20" max="20" width="17.28515625" style="9" hidden="1" customWidth="1"/>
    <col min="21" max="21" width="14.7109375" style="9" customWidth="1"/>
    <col min="22" max="22" width="13.28515625" style="9" customWidth="1"/>
    <col min="23" max="23" width="17.140625" style="9" customWidth="1"/>
    <col min="24" max="24" width="18.85546875" style="9" customWidth="1"/>
    <col min="25" max="25" width="18.42578125" style="9" customWidth="1"/>
    <col min="26" max="26" width="16.7109375" style="7" customWidth="1"/>
    <col min="27" max="27" width="22.42578125" style="7" customWidth="1"/>
    <col min="28" max="33" width="15.85546875" style="7" customWidth="1"/>
    <col min="34" max="16384" width="9.140625" style="7"/>
  </cols>
  <sheetData>
    <row r="1" spans="2:33" s="1" customFormat="1" ht="99.75" customHeight="1" x14ac:dyDescent="0.25">
      <c r="B1" s="81" t="s">
        <v>0</v>
      </c>
      <c r="C1" s="81" t="s">
        <v>1</v>
      </c>
      <c r="D1" s="81" t="s">
        <v>2</v>
      </c>
      <c r="E1" s="81" t="s">
        <v>3</v>
      </c>
      <c r="F1" s="82" t="s">
        <v>4</v>
      </c>
      <c r="G1" s="82" t="s">
        <v>5</v>
      </c>
      <c r="H1" s="82" t="s">
        <v>6</v>
      </c>
      <c r="I1" s="82" t="s">
        <v>7</v>
      </c>
      <c r="J1" s="82" t="s">
        <v>8</v>
      </c>
      <c r="K1" s="82" t="s">
        <v>9</v>
      </c>
      <c r="L1" s="82" t="s">
        <v>10</v>
      </c>
      <c r="M1" s="82" t="s">
        <v>11</v>
      </c>
      <c r="N1" s="82" t="s">
        <v>12</v>
      </c>
      <c r="O1" s="82" t="s">
        <v>13</v>
      </c>
      <c r="P1" s="82" t="s">
        <v>14</v>
      </c>
      <c r="Q1" s="82" t="s">
        <v>15</v>
      </c>
      <c r="R1" s="82" t="s">
        <v>16</v>
      </c>
      <c r="S1" s="82" t="s">
        <v>17</v>
      </c>
      <c r="T1" s="81" t="s">
        <v>18</v>
      </c>
      <c r="U1" s="82" t="s">
        <v>19</v>
      </c>
      <c r="V1" s="82" t="s">
        <v>20</v>
      </c>
      <c r="W1" s="83" t="s">
        <v>21</v>
      </c>
      <c r="X1" s="82" t="s">
        <v>22</v>
      </c>
      <c r="Y1" s="82" t="s">
        <v>23</v>
      </c>
      <c r="Z1" s="82" t="s">
        <v>24</v>
      </c>
      <c r="AA1" s="84" t="s">
        <v>25</v>
      </c>
      <c r="AB1" s="82" t="s">
        <v>26</v>
      </c>
      <c r="AC1" s="82" t="s">
        <v>27</v>
      </c>
      <c r="AD1" s="82" t="s">
        <v>28</v>
      </c>
      <c r="AE1" s="82" t="s">
        <v>29</v>
      </c>
      <c r="AF1" s="82" t="s">
        <v>30</v>
      </c>
      <c r="AG1" s="82" t="s">
        <v>31</v>
      </c>
    </row>
    <row r="2" spans="2:33" s="2" customFormat="1" ht="49.5" customHeight="1" x14ac:dyDescent="0.25">
      <c r="B2" s="30" t="s">
        <v>32</v>
      </c>
      <c r="C2" s="27" t="s">
        <v>33</v>
      </c>
      <c r="D2" s="27" t="s">
        <v>151</v>
      </c>
      <c r="E2" s="27" t="s">
        <v>35</v>
      </c>
      <c r="F2" s="28">
        <v>0</v>
      </c>
      <c r="G2" s="31">
        <v>1</v>
      </c>
      <c r="H2" s="28">
        <v>0</v>
      </c>
      <c r="I2" s="28">
        <v>0</v>
      </c>
      <c r="J2" s="28">
        <v>0</v>
      </c>
      <c r="K2" s="28">
        <v>0</v>
      </c>
      <c r="L2" s="28">
        <v>0</v>
      </c>
      <c r="M2" s="28">
        <v>0</v>
      </c>
      <c r="N2" s="28">
        <v>0</v>
      </c>
      <c r="O2" s="28">
        <v>0</v>
      </c>
      <c r="P2" s="28">
        <v>0</v>
      </c>
      <c r="Q2" s="28">
        <v>0</v>
      </c>
      <c r="R2" s="28">
        <v>0</v>
      </c>
      <c r="S2" s="28">
        <v>0</v>
      </c>
      <c r="T2" s="28">
        <v>0</v>
      </c>
      <c r="U2" s="28">
        <v>0</v>
      </c>
      <c r="V2" s="28">
        <v>0</v>
      </c>
      <c r="W2" s="28">
        <v>0</v>
      </c>
      <c r="X2" s="28">
        <v>0</v>
      </c>
      <c r="Y2" s="28">
        <v>0</v>
      </c>
      <c r="Z2" s="28">
        <v>0</v>
      </c>
      <c r="AB2" s="35">
        <v>19</v>
      </c>
      <c r="AC2" s="35">
        <v>2</v>
      </c>
      <c r="AD2" s="35">
        <v>1</v>
      </c>
      <c r="AE2" s="35">
        <v>1</v>
      </c>
      <c r="AF2" s="35">
        <v>1</v>
      </c>
      <c r="AG2" s="35">
        <v>2</v>
      </c>
    </row>
    <row r="3" spans="2:33" s="2" customFormat="1" ht="48" customHeight="1" x14ac:dyDescent="0.25">
      <c r="B3" s="29" t="s">
        <v>32</v>
      </c>
      <c r="C3" s="27" t="s">
        <v>34</v>
      </c>
      <c r="D3" s="27" t="s">
        <v>151</v>
      </c>
      <c r="E3" s="27" t="s">
        <v>35</v>
      </c>
      <c r="F3" s="28">
        <v>0</v>
      </c>
      <c r="G3" s="31">
        <v>3</v>
      </c>
      <c r="H3" s="28">
        <v>0</v>
      </c>
      <c r="I3" s="28">
        <v>0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0</v>
      </c>
      <c r="R3" s="28">
        <v>0</v>
      </c>
      <c r="S3" s="28">
        <v>0</v>
      </c>
      <c r="T3" s="28">
        <v>0</v>
      </c>
      <c r="U3" s="28">
        <v>0</v>
      </c>
      <c r="V3" s="28">
        <v>0</v>
      </c>
      <c r="W3" s="28">
        <v>0</v>
      </c>
      <c r="X3" s="28">
        <v>0</v>
      </c>
      <c r="Y3" s="28">
        <v>0</v>
      </c>
      <c r="Z3" s="28">
        <v>0</v>
      </c>
      <c r="AB3" s="32">
        <v>0</v>
      </c>
      <c r="AC3" s="32">
        <v>0</v>
      </c>
      <c r="AD3" s="32">
        <v>0</v>
      </c>
      <c r="AE3" s="32">
        <v>0</v>
      </c>
      <c r="AF3" s="32">
        <v>0</v>
      </c>
      <c r="AG3" s="32">
        <v>0</v>
      </c>
    </row>
    <row r="4" spans="2:33" s="2" customFormat="1" ht="48" customHeight="1" x14ac:dyDescent="0.25">
      <c r="B4" s="29" t="s">
        <v>32</v>
      </c>
      <c r="C4" s="27" t="s">
        <v>34</v>
      </c>
      <c r="D4" s="27" t="s">
        <v>150</v>
      </c>
      <c r="E4" s="27" t="s">
        <v>35</v>
      </c>
      <c r="F4" s="28">
        <v>0</v>
      </c>
      <c r="G4" s="31">
        <v>2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B4" s="32">
        <v>15</v>
      </c>
      <c r="AC4" s="32">
        <v>0</v>
      </c>
      <c r="AD4" s="35">
        <v>1</v>
      </c>
      <c r="AE4" s="35">
        <v>1</v>
      </c>
      <c r="AF4" s="32">
        <v>0</v>
      </c>
      <c r="AG4" s="35">
        <v>1</v>
      </c>
    </row>
    <row r="5" spans="2:33" s="2" customFormat="1" ht="49.5" customHeight="1" x14ac:dyDescent="0.25">
      <c r="B5" s="29" t="s">
        <v>32</v>
      </c>
      <c r="C5" s="27" t="s">
        <v>34</v>
      </c>
      <c r="D5" s="27" t="s">
        <v>178</v>
      </c>
      <c r="E5" s="27" t="s">
        <v>35</v>
      </c>
      <c r="F5" s="28">
        <v>0</v>
      </c>
      <c r="G5" s="31">
        <v>1</v>
      </c>
      <c r="H5" s="28">
        <v>0</v>
      </c>
      <c r="I5" s="28">
        <v>0</v>
      </c>
      <c r="J5" s="28">
        <v>0</v>
      </c>
      <c r="K5" s="28">
        <v>0</v>
      </c>
      <c r="L5" s="28">
        <v>0</v>
      </c>
      <c r="M5" s="28">
        <v>0</v>
      </c>
      <c r="N5" s="28">
        <v>0</v>
      </c>
      <c r="O5" s="28">
        <v>0</v>
      </c>
      <c r="P5" s="28">
        <v>0</v>
      </c>
      <c r="Q5" s="28">
        <v>0</v>
      </c>
      <c r="R5" s="28">
        <v>0</v>
      </c>
      <c r="S5" s="28">
        <v>0</v>
      </c>
      <c r="T5" s="28">
        <v>0</v>
      </c>
      <c r="U5" s="28">
        <v>0</v>
      </c>
      <c r="V5" s="28">
        <v>0</v>
      </c>
      <c r="W5" s="28">
        <v>0</v>
      </c>
      <c r="X5" s="28">
        <v>0</v>
      </c>
      <c r="Y5" s="28">
        <v>0</v>
      </c>
      <c r="Z5" s="28">
        <v>0</v>
      </c>
      <c r="AB5" s="32">
        <v>7</v>
      </c>
      <c r="AC5" s="32">
        <v>0</v>
      </c>
      <c r="AD5" s="35">
        <v>1</v>
      </c>
      <c r="AE5" s="35">
        <v>1</v>
      </c>
      <c r="AF5" s="32">
        <v>0</v>
      </c>
      <c r="AG5" s="35">
        <v>1</v>
      </c>
    </row>
    <row r="6" spans="2:33" s="2" customFormat="1" ht="49.5" customHeight="1" x14ac:dyDescent="0.25">
      <c r="B6" s="29" t="s">
        <v>32</v>
      </c>
      <c r="C6" s="27" t="s">
        <v>34</v>
      </c>
      <c r="D6" s="27" t="s">
        <v>144</v>
      </c>
      <c r="E6" s="27" t="s">
        <v>36</v>
      </c>
      <c r="F6" s="28">
        <v>0</v>
      </c>
      <c r="G6" s="31">
        <v>2</v>
      </c>
      <c r="H6" s="28">
        <v>0</v>
      </c>
      <c r="I6" s="28">
        <v>0</v>
      </c>
      <c r="J6" s="28">
        <v>0</v>
      </c>
      <c r="K6" s="28">
        <v>0</v>
      </c>
      <c r="L6" s="28">
        <v>0</v>
      </c>
      <c r="M6" s="28">
        <v>0</v>
      </c>
      <c r="N6" s="28">
        <v>0</v>
      </c>
      <c r="O6" s="28">
        <v>0</v>
      </c>
      <c r="P6" s="28">
        <v>0</v>
      </c>
      <c r="Q6" s="28">
        <v>0</v>
      </c>
      <c r="R6" s="28">
        <v>0</v>
      </c>
      <c r="S6" s="28">
        <v>0</v>
      </c>
      <c r="T6" s="28">
        <v>0</v>
      </c>
      <c r="U6" s="28">
        <v>0</v>
      </c>
      <c r="V6" s="28">
        <v>0</v>
      </c>
      <c r="W6" s="28">
        <v>0</v>
      </c>
      <c r="X6" s="31">
        <v>1</v>
      </c>
      <c r="Y6" s="28">
        <v>0</v>
      </c>
      <c r="Z6" s="28">
        <v>0</v>
      </c>
      <c r="AB6" s="32">
        <v>11</v>
      </c>
      <c r="AC6" s="32">
        <v>0</v>
      </c>
      <c r="AD6" s="35">
        <v>1</v>
      </c>
      <c r="AE6" s="35">
        <v>1</v>
      </c>
      <c r="AF6" s="32">
        <v>0</v>
      </c>
      <c r="AG6" s="35">
        <v>1</v>
      </c>
    </row>
    <row r="7" spans="2:33" s="2" customFormat="1" ht="48" customHeight="1" x14ac:dyDescent="0.25">
      <c r="B7" s="29" t="s">
        <v>32</v>
      </c>
      <c r="C7" s="27" t="s">
        <v>34</v>
      </c>
      <c r="D7" s="27" t="s">
        <v>145</v>
      </c>
      <c r="E7" s="27" t="s">
        <v>36</v>
      </c>
      <c r="F7" s="28">
        <v>0</v>
      </c>
      <c r="G7" s="31">
        <v>1</v>
      </c>
      <c r="H7" s="28">
        <v>0</v>
      </c>
      <c r="I7" s="28"/>
      <c r="J7" s="28"/>
      <c r="K7" s="28"/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B7" s="32">
        <v>0</v>
      </c>
      <c r="AC7" s="32">
        <v>0</v>
      </c>
      <c r="AD7" s="32">
        <v>0</v>
      </c>
      <c r="AE7" s="32">
        <v>0</v>
      </c>
      <c r="AF7" s="32">
        <v>0</v>
      </c>
      <c r="AG7" s="32">
        <v>0</v>
      </c>
    </row>
    <row r="8" spans="2:33" s="2" customFormat="1" ht="48" customHeight="1" x14ac:dyDescent="0.25">
      <c r="B8" s="29" t="s">
        <v>32</v>
      </c>
      <c r="C8" s="27" t="s">
        <v>34</v>
      </c>
      <c r="D8" s="27" t="s">
        <v>179</v>
      </c>
      <c r="E8" s="27" t="s">
        <v>37</v>
      </c>
      <c r="F8" s="28">
        <v>0</v>
      </c>
      <c r="G8" s="31">
        <v>2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0</v>
      </c>
      <c r="W8" s="28">
        <v>0</v>
      </c>
      <c r="X8" s="28">
        <v>0</v>
      </c>
      <c r="Y8" s="28">
        <v>0</v>
      </c>
      <c r="Z8" s="28">
        <v>0</v>
      </c>
      <c r="AB8" s="35">
        <v>16</v>
      </c>
      <c r="AC8" s="32">
        <v>0</v>
      </c>
      <c r="AD8" s="35">
        <v>1</v>
      </c>
      <c r="AE8" s="35">
        <v>1</v>
      </c>
      <c r="AF8" s="32">
        <v>0</v>
      </c>
      <c r="AG8" s="35">
        <v>3</v>
      </c>
    </row>
    <row r="9" spans="2:33" s="2" customFormat="1" ht="48" customHeight="1" x14ac:dyDescent="0.25">
      <c r="B9" s="29" t="s">
        <v>32</v>
      </c>
      <c r="C9" s="27" t="s">
        <v>34</v>
      </c>
      <c r="D9" s="27" t="s">
        <v>38</v>
      </c>
      <c r="E9" s="27" t="s">
        <v>37</v>
      </c>
      <c r="F9" s="28">
        <v>0</v>
      </c>
      <c r="G9" s="31">
        <v>2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58">
        <f>(AA11/30)*16</f>
        <v>137278404.40920275</v>
      </c>
      <c r="AB9" s="32">
        <v>0</v>
      </c>
      <c r="AC9" s="32">
        <v>0</v>
      </c>
      <c r="AD9" s="32">
        <v>0</v>
      </c>
      <c r="AE9" s="32">
        <v>0</v>
      </c>
      <c r="AF9" s="32">
        <v>0</v>
      </c>
      <c r="AG9" s="32">
        <v>0</v>
      </c>
    </row>
    <row r="10" spans="2:33" s="2" customFormat="1" ht="48" customHeight="1" x14ac:dyDescent="0.25">
      <c r="B10" s="29" t="s">
        <v>32</v>
      </c>
      <c r="C10" s="27" t="s">
        <v>34</v>
      </c>
      <c r="D10" s="27" t="s">
        <v>39</v>
      </c>
      <c r="E10" s="27" t="s">
        <v>40</v>
      </c>
      <c r="F10" s="28">
        <v>0</v>
      </c>
      <c r="G10" s="31">
        <v>1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B10" s="32">
        <v>0</v>
      </c>
      <c r="AC10" s="32">
        <v>0</v>
      </c>
      <c r="AD10" s="32">
        <v>0</v>
      </c>
      <c r="AE10" s="32">
        <v>0</v>
      </c>
      <c r="AF10" s="32">
        <v>0</v>
      </c>
      <c r="AG10" s="32">
        <v>0</v>
      </c>
    </row>
    <row r="11" spans="2:33" s="2" customFormat="1" ht="48" customHeight="1" x14ac:dyDescent="0.25">
      <c r="B11" s="29" t="s">
        <v>32</v>
      </c>
      <c r="C11" s="27" t="s">
        <v>34</v>
      </c>
      <c r="D11" s="27" t="s">
        <v>180</v>
      </c>
      <c r="E11" s="27" t="s">
        <v>40</v>
      </c>
      <c r="F11" s="28">
        <v>0</v>
      </c>
      <c r="G11" s="31">
        <v>2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58">
        <f>+(G12*G97)+(X12*X97)</f>
        <v>257397008.26725519</v>
      </c>
      <c r="AB11" s="35">
        <v>15</v>
      </c>
      <c r="AC11" s="32">
        <v>0</v>
      </c>
      <c r="AD11" s="35">
        <v>1</v>
      </c>
      <c r="AE11" s="35">
        <v>1</v>
      </c>
      <c r="AF11" s="32">
        <v>0</v>
      </c>
      <c r="AG11" s="35">
        <v>3</v>
      </c>
    </row>
    <row r="12" spans="2:33" s="53" customFormat="1" ht="19.5" customHeight="1" x14ac:dyDescent="0.25">
      <c r="B12" s="165" t="s">
        <v>41</v>
      </c>
      <c r="C12" s="165"/>
      <c r="D12" s="165"/>
      <c r="E12" s="165"/>
      <c r="F12" s="85">
        <f t="shared" ref="F12:Z12" si="0">SUM(F2:F11)</f>
        <v>0</v>
      </c>
      <c r="G12" s="85">
        <f t="shared" si="0"/>
        <v>17</v>
      </c>
      <c r="H12" s="85">
        <f t="shared" si="0"/>
        <v>0</v>
      </c>
      <c r="I12" s="85">
        <f t="shared" si="0"/>
        <v>0</v>
      </c>
      <c r="J12" s="85">
        <f t="shared" si="0"/>
        <v>0</v>
      </c>
      <c r="K12" s="85">
        <f t="shared" si="0"/>
        <v>0</v>
      </c>
      <c r="L12" s="85">
        <f t="shared" si="0"/>
        <v>0</v>
      </c>
      <c r="M12" s="85">
        <f t="shared" si="0"/>
        <v>0</v>
      </c>
      <c r="N12" s="85">
        <f t="shared" si="0"/>
        <v>0</v>
      </c>
      <c r="O12" s="85">
        <f t="shared" si="0"/>
        <v>0</v>
      </c>
      <c r="P12" s="85">
        <f t="shared" si="0"/>
        <v>0</v>
      </c>
      <c r="Q12" s="85">
        <f t="shared" si="0"/>
        <v>0</v>
      </c>
      <c r="R12" s="85">
        <f t="shared" si="0"/>
        <v>0</v>
      </c>
      <c r="S12" s="85">
        <f t="shared" si="0"/>
        <v>0</v>
      </c>
      <c r="T12" s="85">
        <f t="shared" si="0"/>
        <v>0</v>
      </c>
      <c r="U12" s="85">
        <f t="shared" si="0"/>
        <v>0</v>
      </c>
      <c r="V12" s="85">
        <f t="shared" si="0"/>
        <v>0</v>
      </c>
      <c r="W12" s="85">
        <f t="shared" si="0"/>
        <v>0</v>
      </c>
      <c r="X12" s="85">
        <f t="shared" si="0"/>
        <v>1</v>
      </c>
      <c r="Y12" s="85">
        <f t="shared" si="0"/>
        <v>0</v>
      </c>
      <c r="Z12" s="85">
        <f t="shared" si="0"/>
        <v>0</v>
      </c>
      <c r="AA12" s="86">
        <f>SUM(F12:Z12)</f>
        <v>18</v>
      </c>
      <c r="AB12" s="87">
        <f t="shared" ref="AB12:AG12" si="1">SUM(AB2:AB11)</f>
        <v>83</v>
      </c>
      <c r="AC12" s="87">
        <f t="shared" si="1"/>
        <v>2</v>
      </c>
      <c r="AD12" s="87">
        <f t="shared" si="1"/>
        <v>6</v>
      </c>
      <c r="AE12" s="87">
        <f t="shared" si="1"/>
        <v>6</v>
      </c>
      <c r="AF12" s="87">
        <f t="shared" si="1"/>
        <v>1</v>
      </c>
      <c r="AG12" s="87">
        <f t="shared" si="1"/>
        <v>11</v>
      </c>
    </row>
    <row r="13" spans="2:33" s="2" customFormat="1" ht="49.5" customHeight="1" x14ac:dyDescent="0.25">
      <c r="B13" s="30" t="s">
        <v>42</v>
      </c>
      <c r="C13" s="27" t="s">
        <v>43</v>
      </c>
      <c r="D13" s="27" t="s">
        <v>181</v>
      </c>
      <c r="E13" s="27" t="s">
        <v>45</v>
      </c>
      <c r="F13" s="28">
        <v>0</v>
      </c>
      <c r="G13" s="31">
        <v>1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32">
        <v>0</v>
      </c>
    </row>
    <row r="14" spans="2:33" s="2" customFormat="1" ht="48" customHeight="1" x14ac:dyDescent="0.25">
      <c r="B14" s="29" t="s">
        <v>42</v>
      </c>
      <c r="C14" s="27" t="s">
        <v>44</v>
      </c>
      <c r="D14" s="27" t="s">
        <v>181</v>
      </c>
      <c r="E14" s="27" t="s">
        <v>45</v>
      </c>
      <c r="F14" s="31">
        <v>1</v>
      </c>
      <c r="G14" s="31">
        <v>3</v>
      </c>
      <c r="H14" s="31">
        <v>1</v>
      </c>
      <c r="I14" s="28">
        <v>0</v>
      </c>
      <c r="J14" s="28">
        <v>0</v>
      </c>
      <c r="K14" s="28">
        <v>0</v>
      </c>
      <c r="L14" s="28">
        <v>0</v>
      </c>
      <c r="M14" s="31">
        <v>1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31">
        <v>1</v>
      </c>
      <c r="Z14" s="28">
        <v>0</v>
      </c>
      <c r="AB14" s="35">
        <v>58</v>
      </c>
      <c r="AC14" s="35">
        <v>2</v>
      </c>
      <c r="AD14" s="35">
        <v>2</v>
      </c>
      <c r="AE14" s="35">
        <v>2</v>
      </c>
      <c r="AF14" s="35">
        <v>1</v>
      </c>
      <c r="AG14" s="35">
        <v>5</v>
      </c>
    </row>
    <row r="15" spans="2:33" s="2" customFormat="1" ht="47.25" customHeight="1" x14ac:dyDescent="0.25">
      <c r="B15" s="29" t="s">
        <v>42</v>
      </c>
      <c r="C15" s="27" t="s">
        <v>46</v>
      </c>
      <c r="D15" s="27" t="s">
        <v>181</v>
      </c>
      <c r="E15" s="27" t="s">
        <v>45</v>
      </c>
      <c r="F15" s="31"/>
      <c r="G15" s="31"/>
      <c r="H15" s="31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B15" s="35"/>
      <c r="AC15" s="32"/>
      <c r="AD15" s="32"/>
      <c r="AE15" s="32"/>
      <c r="AF15" s="32"/>
      <c r="AG15" s="32"/>
    </row>
    <row r="16" spans="2:33" s="2" customFormat="1" ht="48" customHeight="1" x14ac:dyDescent="0.25">
      <c r="B16" s="29" t="s">
        <v>42</v>
      </c>
      <c r="C16" s="27" t="s">
        <v>44</v>
      </c>
      <c r="D16" s="27" t="s">
        <v>152</v>
      </c>
      <c r="E16" s="27" t="s">
        <v>47</v>
      </c>
      <c r="F16" s="31">
        <v>3</v>
      </c>
      <c r="G16" s="31">
        <v>3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58">
        <f>(AA17/30)*16</f>
        <v>141077380.65077943</v>
      </c>
      <c r="AB16" s="35">
        <v>10</v>
      </c>
      <c r="AC16" s="32">
        <v>0</v>
      </c>
      <c r="AD16" s="35">
        <v>1</v>
      </c>
      <c r="AE16" s="35">
        <v>1</v>
      </c>
      <c r="AF16" s="32">
        <v>0</v>
      </c>
      <c r="AG16" s="35">
        <v>3</v>
      </c>
    </row>
    <row r="17" spans="2:34" s="2" customFormat="1" ht="48" customHeight="1" x14ac:dyDescent="0.25">
      <c r="B17" s="29" t="s">
        <v>42</v>
      </c>
      <c r="C17" s="27" t="s">
        <v>44</v>
      </c>
      <c r="D17" s="27" t="s">
        <v>146</v>
      </c>
      <c r="E17" s="27" t="s">
        <v>48</v>
      </c>
      <c r="F17" s="31">
        <v>2</v>
      </c>
      <c r="G17" s="31">
        <v>3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58">
        <f>+(F18*F97)+(G18*G97)+(H18*H97)+(M18*M97)+(P18*P97)+(Y18*Y97)</f>
        <v>264520088.72021142</v>
      </c>
      <c r="AB17" s="35">
        <v>10</v>
      </c>
      <c r="AC17" s="32">
        <v>0</v>
      </c>
      <c r="AD17" s="35">
        <v>1</v>
      </c>
      <c r="AE17" s="35">
        <v>1</v>
      </c>
      <c r="AF17" s="32">
        <v>0</v>
      </c>
      <c r="AG17" s="35">
        <v>3</v>
      </c>
    </row>
    <row r="18" spans="2:34" s="53" customFormat="1" ht="19.5" customHeight="1" x14ac:dyDescent="0.25">
      <c r="B18" s="165" t="s">
        <v>49</v>
      </c>
      <c r="C18" s="165"/>
      <c r="D18" s="165"/>
      <c r="E18" s="165"/>
      <c r="F18" s="85">
        <f t="shared" ref="F18:Z18" si="2">SUM(F13:F17)</f>
        <v>6</v>
      </c>
      <c r="G18" s="85">
        <f t="shared" si="2"/>
        <v>10</v>
      </c>
      <c r="H18" s="85">
        <f t="shared" si="2"/>
        <v>1</v>
      </c>
      <c r="I18" s="85">
        <f t="shared" si="2"/>
        <v>0</v>
      </c>
      <c r="J18" s="85">
        <f t="shared" si="2"/>
        <v>0</v>
      </c>
      <c r="K18" s="85">
        <f t="shared" si="2"/>
        <v>0</v>
      </c>
      <c r="L18" s="85">
        <f t="shared" si="2"/>
        <v>0</v>
      </c>
      <c r="M18" s="85">
        <f t="shared" si="2"/>
        <v>1</v>
      </c>
      <c r="N18" s="85">
        <f t="shared" si="2"/>
        <v>0</v>
      </c>
      <c r="O18" s="85">
        <f t="shared" si="2"/>
        <v>0</v>
      </c>
      <c r="P18" s="85">
        <f t="shared" si="2"/>
        <v>0</v>
      </c>
      <c r="Q18" s="85">
        <f t="shared" si="2"/>
        <v>0</v>
      </c>
      <c r="R18" s="85">
        <f t="shared" si="2"/>
        <v>0</v>
      </c>
      <c r="S18" s="85">
        <f t="shared" si="2"/>
        <v>0</v>
      </c>
      <c r="T18" s="85">
        <f t="shared" si="2"/>
        <v>0</v>
      </c>
      <c r="U18" s="85">
        <f t="shared" si="2"/>
        <v>0</v>
      </c>
      <c r="V18" s="85">
        <f t="shared" si="2"/>
        <v>0</v>
      </c>
      <c r="W18" s="85">
        <f t="shared" si="2"/>
        <v>0</v>
      </c>
      <c r="X18" s="85">
        <f t="shared" si="2"/>
        <v>0</v>
      </c>
      <c r="Y18" s="85">
        <f t="shared" si="2"/>
        <v>1</v>
      </c>
      <c r="Z18" s="85">
        <f t="shared" si="2"/>
        <v>0</v>
      </c>
      <c r="AA18" s="86">
        <f>SUM(F18:Z18)</f>
        <v>19</v>
      </c>
      <c r="AB18" s="87">
        <f>SUM(AB13:AB17)</f>
        <v>78</v>
      </c>
      <c r="AC18" s="87">
        <f t="shared" ref="AC18:AG18" si="3">SUM(AC13:AC17)</f>
        <v>2</v>
      </c>
      <c r="AD18" s="87">
        <f t="shared" si="3"/>
        <v>4</v>
      </c>
      <c r="AE18" s="87">
        <f t="shared" si="3"/>
        <v>4</v>
      </c>
      <c r="AF18" s="87">
        <f t="shared" si="3"/>
        <v>1</v>
      </c>
      <c r="AG18" s="87">
        <f t="shared" si="3"/>
        <v>11</v>
      </c>
    </row>
    <row r="19" spans="2:34" s="2" customFormat="1" ht="43.5" customHeight="1" x14ac:dyDescent="0.25">
      <c r="B19" s="30" t="s">
        <v>50</v>
      </c>
      <c r="C19" s="27" t="s">
        <v>33</v>
      </c>
      <c r="D19" s="27" t="s">
        <v>182</v>
      </c>
      <c r="E19" s="27" t="s">
        <v>52</v>
      </c>
      <c r="F19" s="28">
        <v>0</v>
      </c>
      <c r="G19" s="31">
        <v>1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B19" s="32">
        <v>0</v>
      </c>
      <c r="AC19" s="32">
        <v>0</v>
      </c>
      <c r="AD19" s="32">
        <v>0</v>
      </c>
      <c r="AE19" s="32">
        <v>0</v>
      </c>
      <c r="AF19" s="32">
        <v>0</v>
      </c>
      <c r="AG19" s="32">
        <v>0</v>
      </c>
    </row>
    <row r="20" spans="2:34" s="2" customFormat="1" ht="48" customHeight="1" x14ac:dyDescent="0.25">
      <c r="B20" s="29" t="s">
        <v>50</v>
      </c>
      <c r="C20" s="27" t="s">
        <v>195</v>
      </c>
      <c r="D20" s="27" t="s">
        <v>182</v>
      </c>
      <c r="E20" s="27" t="s">
        <v>52</v>
      </c>
      <c r="F20" s="28">
        <v>0</v>
      </c>
      <c r="G20" s="31">
        <v>4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31">
        <v>1</v>
      </c>
      <c r="R20" s="28">
        <v>0</v>
      </c>
      <c r="S20" s="28">
        <v>0</v>
      </c>
      <c r="T20" s="28">
        <v>0</v>
      </c>
      <c r="U20" s="28">
        <v>0</v>
      </c>
      <c r="V20" s="31">
        <v>1</v>
      </c>
      <c r="W20" s="28">
        <v>0</v>
      </c>
      <c r="X20" s="28">
        <v>0</v>
      </c>
      <c r="Y20" s="28">
        <v>0</v>
      </c>
      <c r="Z20" s="28">
        <v>0</v>
      </c>
      <c r="AB20" s="35">
        <v>18</v>
      </c>
      <c r="AC20" s="32">
        <v>0</v>
      </c>
      <c r="AD20" s="35">
        <v>2</v>
      </c>
      <c r="AE20" s="35">
        <v>2</v>
      </c>
      <c r="AF20" s="35">
        <v>1</v>
      </c>
      <c r="AG20" s="32">
        <v>0</v>
      </c>
    </row>
    <row r="21" spans="2:34" s="2" customFormat="1" ht="48" customHeight="1" x14ac:dyDescent="0.25">
      <c r="B21" s="29" t="s">
        <v>50</v>
      </c>
      <c r="C21" s="27" t="s">
        <v>195</v>
      </c>
      <c r="D21" s="27" t="s">
        <v>183</v>
      </c>
      <c r="E21" s="27" t="s">
        <v>121</v>
      </c>
      <c r="F21" s="28">
        <v>0</v>
      </c>
      <c r="G21" s="31">
        <v>1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B21" s="35">
        <v>8</v>
      </c>
      <c r="AC21" s="32">
        <v>0</v>
      </c>
      <c r="AD21" s="35">
        <v>1</v>
      </c>
      <c r="AE21" s="35">
        <v>1</v>
      </c>
      <c r="AF21" s="35">
        <v>1</v>
      </c>
      <c r="AG21" s="35">
        <v>1</v>
      </c>
    </row>
    <row r="22" spans="2:34" s="2" customFormat="1" ht="48" customHeight="1" x14ac:dyDescent="0.25">
      <c r="B22" s="29" t="s">
        <v>50</v>
      </c>
      <c r="C22" s="27" t="s">
        <v>195</v>
      </c>
      <c r="D22" s="27" t="s">
        <v>153</v>
      </c>
      <c r="E22" s="27" t="s">
        <v>123</v>
      </c>
      <c r="F22" s="28">
        <v>0</v>
      </c>
      <c r="G22" s="31">
        <v>1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B22" s="35">
        <v>8</v>
      </c>
      <c r="AC22" s="32">
        <v>0</v>
      </c>
      <c r="AD22" s="35">
        <v>1</v>
      </c>
      <c r="AE22" s="35">
        <v>1</v>
      </c>
      <c r="AF22" s="35">
        <v>1</v>
      </c>
      <c r="AG22" s="35">
        <v>1</v>
      </c>
    </row>
    <row r="23" spans="2:34" s="2" customFormat="1" ht="43.5" customHeight="1" x14ac:dyDescent="0.25">
      <c r="B23" s="30" t="s">
        <v>50</v>
      </c>
      <c r="C23" s="27" t="s">
        <v>51</v>
      </c>
      <c r="D23" s="27" t="s">
        <v>53</v>
      </c>
      <c r="E23" s="27" t="s">
        <v>52</v>
      </c>
      <c r="F23" s="28">
        <v>0</v>
      </c>
      <c r="G23" s="31">
        <v>3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/>
      <c r="N23" s="28">
        <v>0</v>
      </c>
      <c r="O23" s="28">
        <v>0</v>
      </c>
      <c r="P23" s="28">
        <v>0</v>
      </c>
      <c r="Q23" s="31">
        <v>1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B23" s="35">
        <v>22</v>
      </c>
      <c r="AC23" s="32">
        <v>0</v>
      </c>
      <c r="AD23" s="35">
        <v>2</v>
      </c>
      <c r="AE23" s="35">
        <v>2</v>
      </c>
      <c r="AF23" s="35">
        <v>1</v>
      </c>
      <c r="AG23" s="32">
        <v>0</v>
      </c>
    </row>
    <row r="24" spans="2:34" s="2" customFormat="1" ht="48" customHeight="1" x14ac:dyDescent="0.25">
      <c r="B24" s="29" t="s">
        <v>50</v>
      </c>
      <c r="C24" s="27" t="s">
        <v>54</v>
      </c>
      <c r="D24" s="27" t="s">
        <v>154</v>
      </c>
      <c r="E24" s="27" t="s">
        <v>121</v>
      </c>
      <c r="F24" s="28">
        <v>0</v>
      </c>
      <c r="G24" s="31">
        <v>3</v>
      </c>
      <c r="H24" s="28">
        <v>0</v>
      </c>
      <c r="I24" s="28">
        <v>0</v>
      </c>
      <c r="J24" s="28">
        <v>0</v>
      </c>
      <c r="K24" s="28">
        <v>0</v>
      </c>
      <c r="L24" s="31">
        <v>1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B24" s="35">
        <v>12</v>
      </c>
      <c r="AC24" s="32">
        <v>0</v>
      </c>
      <c r="AD24" s="35">
        <v>1</v>
      </c>
      <c r="AE24" s="35">
        <v>1</v>
      </c>
      <c r="AF24" s="32">
        <v>0</v>
      </c>
      <c r="AG24" s="32">
        <v>0</v>
      </c>
    </row>
    <row r="25" spans="2:34" s="2" customFormat="1" ht="48" customHeight="1" x14ac:dyDescent="0.25">
      <c r="B25" s="29" t="s">
        <v>50</v>
      </c>
      <c r="C25" s="27" t="s">
        <v>54</v>
      </c>
      <c r="D25" s="27" t="s">
        <v>147</v>
      </c>
      <c r="E25" s="27" t="s">
        <v>121</v>
      </c>
      <c r="F25" s="28">
        <v>0</v>
      </c>
      <c r="G25" s="31">
        <v>2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31">
        <v>1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B25" s="32">
        <v>0</v>
      </c>
      <c r="AC25" s="32">
        <v>0</v>
      </c>
      <c r="AD25" s="32">
        <v>0</v>
      </c>
      <c r="AE25" s="32">
        <v>0</v>
      </c>
      <c r="AF25" s="32">
        <v>0</v>
      </c>
      <c r="AG25" s="32">
        <v>0</v>
      </c>
    </row>
    <row r="26" spans="2:34" s="2" customFormat="1" ht="48" customHeight="1" x14ac:dyDescent="0.25">
      <c r="B26" s="29" t="s">
        <v>50</v>
      </c>
      <c r="C26" s="27" t="s">
        <v>54</v>
      </c>
      <c r="D26" s="27" t="s">
        <v>148</v>
      </c>
      <c r="E26" s="27" t="s">
        <v>124</v>
      </c>
      <c r="F26" s="28">
        <v>0</v>
      </c>
      <c r="G26" s="31">
        <v>1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B26" s="35">
        <v>6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</row>
    <row r="27" spans="2:34" s="2" customFormat="1" ht="49.5" customHeight="1" x14ac:dyDescent="0.25">
      <c r="B27" s="30" t="s">
        <v>50</v>
      </c>
      <c r="C27" s="27" t="s">
        <v>55</v>
      </c>
      <c r="D27" s="27" t="s">
        <v>184</v>
      </c>
      <c r="E27" s="27" t="s">
        <v>56</v>
      </c>
      <c r="F27" s="28">
        <v>0</v>
      </c>
      <c r="G27" s="31">
        <v>2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B27" s="35">
        <v>14</v>
      </c>
      <c r="AC27" s="32">
        <v>0</v>
      </c>
      <c r="AD27" s="35">
        <v>1</v>
      </c>
      <c r="AE27" s="35">
        <v>1</v>
      </c>
      <c r="AF27" s="32">
        <v>0</v>
      </c>
      <c r="AG27" s="35">
        <v>1</v>
      </c>
    </row>
    <row r="28" spans="2:34" s="2" customFormat="1" ht="49.5" customHeight="1" x14ac:dyDescent="0.25">
      <c r="B28" s="30" t="s">
        <v>50</v>
      </c>
      <c r="C28" s="27" t="s">
        <v>55</v>
      </c>
      <c r="D28" s="27" t="s">
        <v>185</v>
      </c>
      <c r="E28" s="27" t="s">
        <v>56</v>
      </c>
      <c r="F28" s="28">
        <v>0</v>
      </c>
      <c r="G28" s="31">
        <v>2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B28" s="35">
        <v>6</v>
      </c>
      <c r="AC28" s="35">
        <v>2</v>
      </c>
      <c r="AD28" s="35">
        <v>1</v>
      </c>
      <c r="AE28" s="35">
        <v>1</v>
      </c>
      <c r="AF28" s="32">
        <v>0</v>
      </c>
      <c r="AG28" s="35">
        <v>1</v>
      </c>
    </row>
    <row r="29" spans="2:34" s="2" customFormat="1" ht="49.5" customHeight="1" x14ac:dyDescent="0.25">
      <c r="B29" s="30" t="s">
        <v>50</v>
      </c>
      <c r="C29" s="27" t="s">
        <v>55</v>
      </c>
      <c r="D29" s="27" t="s">
        <v>186</v>
      </c>
      <c r="E29" s="27" t="s">
        <v>56</v>
      </c>
      <c r="F29" s="28">
        <v>0</v>
      </c>
      <c r="G29" s="31">
        <v>1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B29" s="35">
        <v>6</v>
      </c>
      <c r="AC29" s="35">
        <v>2</v>
      </c>
      <c r="AD29" s="35">
        <v>1</v>
      </c>
      <c r="AE29" s="35">
        <v>1</v>
      </c>
      <c r="AF29" s="32">
        <v>0</v>
      </c>
      <c r="AG29" s="35">
        <v>1</v>
      </c>
    </row>
    <row r="30" spans="2:34" s="2" customFormat="1" ht="49.5" customHeight="1" x14ac:dyDescent="0.25">
      <c r="B30" s="30" t="s">
        <v>50</v>
      </c>
      <c r="C30" s="27" t="s">
        <v>55</v>
      </c>
      <c r="D30" s="27" t="s">
        <v>171</v>
      </c>
      <c r="E30" s="27" t="s">
        <v>56</v>
      </c>
      <c r="F30" s="28">
        <v>0</v>
      </c>
      <c r="G30" s="31">
        <v>1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58">
        <f>(AA32/30)*16</f>
        <v>208354132.69714341</v>
      </c>
      <c r="AB30" s="35">
        <v>4</v>
      </c>
      <c r="AC30" s="35">
        <v>2</v>
      </c>
      <c r="AD30" s="32">
        <v>0</v>
      </c>
      <c r="AE30" s="32">
        <v>0</v>
      </c>
      <c r="AF30" s="32">
        <v>0</v>
      </c>
      <c r="AG30" s="32">
        <v>0</v>
      </c>
      <c r="AH30" s="32"/>
    </row>
    <row r="31" spans="2:34" s="2" customFormat="1" ht="49.5" customHeight="1" x14ac:dyDescent="0.25">
      <c r="B31" s="30" t="s">
        <v>50</v>
      </c>
      <c r="C31" s="27" t="s">
        <v>57</v>
      </c>
      <c r="D31" s="27" t="s">
        <v>187</v>
      </c>
      <c r="E31" s="27" t="s">
        <v>125</v>
      </c>
      <c r="F31" s="28">
        <v>0</v>
      </c>
      <c r="G31" s="31">
        <v>1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58"/>
      <c r="AB31" s="35">
        <v>6</v>
      </c>
      <c r="AC31" s="32">
        <v>0</v>
      </c>
      <c r="AD31" s="35">
        <v>1</v>
      </c>
      <c r="AE31" s="35">
        <v>1</v>
      </c>
      <c r="AF31" s="32">
        <v>0</v>
      </c>
      <c r="AG31" s="35">
        <v>1</v>
      </c>
    </row>
    <row r="32" spans="2:34" s="2" customFormat="1" ht="49.5" customHeight="1" x14ac:dyDescent="0.25">
      <c r="B32" s="30" t="s">
        <v>50</v>
      </c>
      <c r="C32" s="27" t="s">
        <v>57</v>
      </c>
      <c r="D32" s="27" t="s">
        <v>149</v>
      </c>
      <c r="E32" s="27" t="s">
        <v>126</v>
      </c>
      <c r="F32" s="28">
        <v>0</v>
      </c>
      <c r="G32" s="31">
        <v>1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58">
        <f>+(G33*G97)+(L33*L97)+(O33*O97)+(Q33*Q97)+(V33*V97)</f>
        <v>390663998.80714387</v>
      </c>
      <c r="AB32" s="35">
        <v>6</v>
      </c>
      <c r="AC32" s="32">
        <v>0</v>
      </c>
      <c r="AD32" s="35">
        <v>1</v>
      </c>
      <c r="AE32" s="35">
        <v>1</v>
      </c>
      <c r="AF32" s="32">
        <v>0</v>
      </c>
      <c r="AG32" s="35">
        <v>1</v>
      </c>
    </row>
    <row r="33" spans="2:33" s="53" customFormat="1" ht="19.5" customHeight="1" x14ac:dyDescent="0.25">
      <c r="B33" s="165" t="s">
        <v>58</v>
      </c>
      <c r="C33" s="165"/>
      <c r="D33" s="165"/>
      <c r="E33" s="165"/>
      <c r="F33" s="85">
        <f t="shared" ref="F33:Z33" si="4">SUM(F19:F32)</f>
        <v>0</v>
      </c>
      <c r="G33" s="85">
        <f t="shared" si="4"/>
        <v>24</v>
      </c>
      <c r="H33" s="85">
        <f t="shared" si="4"/>
        <v>0</v>
      </c>
      <c r="I33" s="85">
        <f t="shared" si="4"/>
        <v>0</v>
      </c>
      <c r="J33" s="85">
        <f t="shared" si="4"/>
        <v>0</v>
      </c>
      <c r="K33" s="85">
        <f t="shared" si="4"/>
        <v>0</v>
      </c>
      <c r="L33" s="85">
        <f t="shared" si="4"/>
        <v>1</v>
      </c>
      <c r="M33" s="85">
        <f t="shared" si="4"/>
        <v>0</v>
      </c>
      <c r="N33" s="85">
        <f t="shared" si="4"/>
        <v>0</v>
      </c>
      <c r="O33" s="85">
        <f t="shared" si="4"/>
        <v>1</v>
      </c>
      <c r="P33" s="85">
        <f t="shared" si="4"/>
        <v>0</v>
      </c>
      <c r="Q33" s="85">
        <f t="shared" si="4"/>
        <v>2</v>
      </c>
      <c r="R33" s="85">
        <f t="shared" si="4"/>
        <v>0</v>
      </c>
      <c r="S33" s="85">
        <f t="shared" si="4"/>
        <v>0</v>
      </c>
      <c r="T33" s="85">
        <f t="shared" si="4"/>
        <v>0</v>
      </c>
      <c r="U33" s="85">
        <f t="shared" si="4"/>
        <v>0</v>
      </c>
      <c r="V33" s="85">
        <f t="shared" si="4"/>
        <v>1</v>
      </c>
      <c r="W33" s="85">
        <f t="shared" si="4"/>
        <v>0</v>
      </c>
      <c r="X33" s="85">
        <f t="shared" si="4"/>
        <v>0</v>
      </c>
      <c r="Y33" s="85">
        <f t="shared" si="4"/>
        <v>0</v>
      </c>
      <c r="Z33" s="85">
        <f t="shared" si="4"/>
        <v>0</v>
      </c>
      <c r="AA33" s="86">
        <f>SUM(F33:Z33)</f>
        <v>29</v>
      </c>
      <c r="AB33" s="87">
        <f t="shared" ref="AB33:AG33" si="5">SUM(AB19:AB32)</f>
        <v>116</v>
      </c>
      <c r="AC33" s="87">
        <f t="shared" si="5"/>
        <v>6</v>
      </c>
      <c r="AD33" s="87">
        <f t="shared" si="5"/>
        <v>12</v>
      </c>
      <c r="AE33" s="87">
        <f t="shared" si="5"/>
        <v>12</v>
      </c>
      <c r="AF33" s="87">
        <f t="shared" si="5"/>
        <v>4</v>
      </c>
      <c r="AG33" s="87">
        <f t="shared" si="5"/>
        <v>7</v>
      </c>
    </row>
    <row r="34" spans="2:33" s="2" customFormat="1" ht="48" customHeight="1" x14ac:dyDescent="0.25">
      <c r="B34" s="29" t="s">
        <v>59</v>
      </c>
      <c r="C34" s="27" t="s">
        <v>43</v>
      </c>
      <c r="D34" s="27" t="s">
        <v>60</v>
      </c>
      <c r="E34" s="27" t="s">
        <v>61</v>
      </c>
      <c r="F34" s="28">
        <v>0</v>
      </c>
      <c r="G34" s="31">
        <v>0</v>
      </c>
      <c r="H34" s="31">
        <v>1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B34" s="32">
        <v>0</v>
      </c>
      <c r="AC34" s="32">
        <v>0</v>
      </c>
      <c r="AD34" s="32">
        <v>0</v>
      </c>
      <c r="AE34" s="32">
        <v>0</v>
      </c>
      <c r="AF34" s="32">
        <v>0</v>
      </c>
      <c r="AG34" s="32">
        <v>0</v>
      </c>
    </row>
    <row r="35" spans="2:33" s="2" customFormat="1" ht="48" customHeight="1" x14ac:dyDescent="0.25">
      <c r="B35" s="29" t="s">
        <v>59</v>
      </c>
      <c r="C35" s="27" t="s">
        <v>43</v>
      </c>
      <c r="D35" s="27" t="s">
        <v>62</v>
      </c>
      <c r="E35" s="27" t="s">
        <v>61</v>
      </c>
      <c r="F35" s="28">
        <v>0</v>
      </c>
      <c r="G35" s="31">
        <v>1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31">
        <v>1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31">
        <v>1</v>
      </c>
      <c r="Z35" s="28">
        <v>0</v>
      </c>
      <c r="AB35" s="32">
        <v>0</v>
      </c>
      <c r="AC35" s="32">
        <v>0</v>
      </c>
      <c r="AD35" s="32">
        <v>0</v>
      </c>
      <c r="AE35" s="32">
        <v>0</v>
      </c>
      <c r="AF35" s="32">
        <v>0</v>
      </c>
      <c r="AG35" s="32">
        <v>0</v>
      </c>
    </row>
    <row r="36" spans="2:33" s="2" customFormat="1" ht="48" customHeight="1" x14ac:dyDescent="0.25">
      <c r="B36" s="29" t="s">
        <v>59</v>
      </c>
      <c r="C36" s="27" t="s">
        <v>43</v>
      </c>
      <c r="D36" s="27" t="s">
        <v>63</v>
      </c>
      <c r="E36" s="27" t="s">
        <v>61</v>
      </c>
      <c r="F36" s="28">
        <v>0</v>
      </c>
      <c r="G36" s="31">
        <v>2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B36" s="35">
        <v>25</v>
      </c>
      <c r="AC36" s="35">
        <v>2</v>
      </c>
      <c r="AD36" s="35">
        <v>3</v>
      </c>
      <c r="AE36" s="35">
        <v>1</v>
      </c>
      <c r="AF36" s="32">
        <v>0</v>
      </c>
      <c r="AG36" s="32">
        <v>0</v>
      </c>
    </row>
    <row r="37" spans="2:33" s="2" customFormat="1" ht="48" customHeight="1" x14ac:dyDescent="0.25">
      <c r="B37" s="29" t="s">
        <v>59</v>
      </c>
      <c r="C37" s="27" t="s">
        <v>43</v>
      </c>
      <c r="D37" s="27" t="s">
        <v>64</v>
      </c>
      <c r="E37" s="27" t="s">
        <v>61</v>
      </c>
      <c r="F37" s="28">
        <v>0</v>
      </c>
      <c r="G37" s="31">
        <v>1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B37" s="35">
        <v>10</v>
      </c>
      <c r="AC37" s="35">
        <v>2</v>
      </c>
      <c r="AD37" s="32">
        <v>0</v>
      </c>
      <c r="AE37" s="32">
        <v>0</v>
      </c>
      <c r="AF37" s="32">
        <v>0</v>
      </c>
      <c r="AG37" s="32">
        <v>0</v>
      </c>
    </row>
    <row r="38" spans="2:33" s="2" customFormat="1" ht="48" customHeight="1" x14ac:dyDescent="0.25">
      <c r="B38" s="29" t="s">
        <v>59</v>
      </c>
      <c r="C38" s="27" t="s">
        <v>43</v>
      </c>
      <c r="D38" s="27" t="s">
        <v>65</v>
      </c>
      <c r="E38" s="27" t="s">
        <v>61</v>
      </c>
      <c r="F38" s="28"/>
      <c r="G38" s="31">
        <v>1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B38" s="32">
        <v>0</v>
      </c>
      <c r="AC38" s="32">
        <v>0</v>
      </c>
      <c r="AD38" s="32">
        <v>0</v>
      </c>
      <c r="AE38" s="32">
        <v>0</v>
      </c>
      <c r="AF38" s="32">
        <v>0</v>
      </c>
      <c r="AG38" s="32">
        <v>0</v>
      </c>
    </row>
    <row r="39" spans="2:33" s="2" customFormat="1" ht="49.5" customHeight="1" x14ac:dyDescent="0.25">
      <c r="B39" s="29" t="s">
        <v>59</v>
      </c>
      <c r="C39" s="27" t="s">
        <v>66</v>
      </c>
      <c r="D39" s="27" t="s">
        <v>67</v>
      </c>
      <c r="E39" s="27" t="s">
        <v>61</v>
      </c>
      <c r="F39" s="28">
        <v>0</v>
      </c>
      <c r="G39" s="31">
        <v>3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31">
        <v>1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B39" s="35">
        <v>13</v>
      </c>
      <c r="AC39" s="35">
        <v>1</v>
      </c>
      <c r="AD39" s="32">
        <v>0</v>
      </c>
      <c r="AE39" s="32">
        <v>0</v>
      </c>
      <c r="AF39" s="32">
        <v>0</v>
      </c>
      <c r="AG39" s="35">
        <v>2</v>
      </c>
    </row>
    <row r="40" spans="2:33" s="2" customFormat="1" ht="49.5" customHeight="1" x14ac:dyDescent="0.25">
      <c r="B40" s="29" t="s">
        <v>59</v>
      </c>
      <c r="C40" s="27" t="s">
        <v>66</v>
      </c>
      <c r="D40" s="27" t="s">
        <v>68</v>
      </c>
      <c r="E40" s="27" t="s">
        <v>61</v>
      </c>
      <c r="F40" s="28">
        <v>0</v>
      </c>
      <c r="G40" s="31">
        <v>1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31">
        <v>1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B40" s="35">
        <v>11</v>
      </c>
      <c r="AC40" s="32">
        <v>0</v>
      </c>
      <c r="AD40" s="32">
        <v>0</v>
      </c>
      <c r="AE40" s="32">
        <v>0</v>
      </c>
      <c r="AF40" s="32">
        <v>0</v>
      </c>
      <c r="AG40" s="35">
        <v>3</v>
      </c>
    </row>
    <row r="41" spans="2:33" s="2" customFormat="1" ht="49.5" customHeight="1" x14ac:dyDescent="0.25">
      <c r="B41" s="29" t="s">
        <v>59</v>
      </c>
      <c r="C41" s="27" t="s">
        <v>66</v>
      </c>
      <c r="D41" s="27" t="s">
        <v>69</v>
      </c>
      <c r="E41" s="27" t="s">
        <v>61</v>
      </c>
      <c r="F41" s="28">
        <v>0</v>
      </c>
      <c r="G41" s="31">
        <v>2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B41" s="35">
        <v>9</v>
      </c>
      <c r="AC41" s="35">
        <v>1</v>
      </c>
      <c r="AD41" s="35">
        <v>1</v>
      </c>
      <c r="AE41" s="35">
        <v>1</v>
      </c>
      <c r="AF41" s="32">
        <v>0</v>
      </c>
      <c r="AG41" s="35">
        <v>4</v>
      </c>
    </row>
    <row r="42" spans="2:33" s="2" customFormat="1" ht="49.5" customHeight="1" x14ac:dyDescent="0.25">
      <c r="B42" s="29" t="s">
        <v>59</v>
      </c>
      <c r="C42" s="27" t="s">
        <v>66</v>
      </c>
      <c r="D42" s="27" t="s">
        <v>188</v>
      </c>
      <c r="E42" s="27" t="s">
        <v>61</v>
      </c>
      <c r="F42" s="28">
        <v>0</v>
      </c>
      <c r="G42" s="31">
        <v>3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B42" s="35">
        <v>11</v>
      </c>
      <c r="AC42" s="35">
        <v>1</v>
      </c>
      <c r="AD42" s="35">
        <v>1</v>
      </c>
      <c r="AE42" s="35">
        <v>1</v>
      </c>
      <c r="AF42" s="32">
        <v>0</v>
      </c>
      <c r="AG42" s="35">
        <v>3</v>
      </c>
    </row>
    <row r="43" spans="2:33" s="2" customFormat="1" ht="49.5" customHeight="1" x14ac:dyDescent="0.25">
      <c r="B43" s="29" t="s">
        <v>59</v>
      </c>
      <c r="C43" s="27" t="s">
        <v>66</v>
      </c>
      <c r="D43" s="27" t="s">
        <v>189</v>
      </c>
      <c r="E43" s="27" t="s">
        <v>70</v>
      </c>
      <c r="F43" s="28">
        <v>0</v>
      </c>
      <c r="G43" s="31">
        <v>2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B43" s="35">
        <v>13</v>
      </c>
      <c r="AC43" s="35">
        <v>1</v>
      </c>
      <c r="AD43" s="35">
        <v>1</v>
      </c>
      <c r="AE43" s="35">
        <v>1</v>
      </c>
      <c r="AF43" s="32">
        <v>0</v>
      </c>
      <c r="AG43" s="35">
        <v>2</v>
      </c>
    </row>
    <row r="44" spans="2:33" s="2" customFormat="1" ht="49.5" customHeight="1" x14ac:dyDescent="0.25">
      <c r="B44" s="29" t="s">
        <v>59</v>
      </c>
      <c r="C44" s="27" t="s">
        <v>66</v>
      </c>
      <c r="D44" s="27" t="s">
        <v>190</v>
      </c>
      <c r="E44" s="27" t="s">
        <v>71</v>
      </c>
      <c r="F44" s="28">
        <v>0</v>
      </c>
      <c r="G44" s="31">
        <v>1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B44" s="35">
        <v>8</v>
      </c>
      <c r="AC44" s="35">
        <v>1</v>
      </c>
      <c r="AD44" s="35">
        <v>1</v>
      </c>
      <c r="AE44" s="35">
        <v>1</v>
      </c>
      <c r="AF44" s="32">
        <v>0</v>
      </c>
      <c r="AG44" s="35">
        <v>1</v>
      </c>
    </row>
    <row r="45" spans="2:33" s="2" customFormat="1" ht="49.5" customHeight="1" x14ac:dyDescent="0.25">
      <c r="B45" s="29" t="s">
        <v>59</v>
      </c>
      <c r="C45" s="27" t="s">
        <v>66</v>
      </c>
      <c r="D45" s="27" t="s">
        <v>72</v>
      </c>
      <c r="E45" s="27" t="s">
        <v>73</v>
      </c>
      <c r="F45" s="28">
        <v>0</v>
      </c>
      <c r="G45" s="31">
        <v>1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</row>
    <row r="46" spans="2:33" s="2" customFormat="1" ht="43.5" customHeight="1" x14ac:dyDescent="0.25">
      <c r="B46" s="29" t="s">
        <v>59</v>
      </c>
      <c r="C46" s="27" t="s">
        <v>155</v>
      </c>
      <c r="D46" s="27" t="s">
        <v>191</v>
      </c>
      <c r="E46" s="27" t="s">
        <v>71</v>
      </c>
      <c r="F46" s="28">
        <v>0</v>
      </c>
      <c r="G46" s="31">
        <v>2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58">
        <f>(AA48/30)*16</f>
        <v>232640326.44915396</v>
      </c>
      <c r="AB46" s="35">
        <v>8</v>
      </c>
      <c r="AC46" s="35">
        <v>1</v>
      </c>
      <c r="AD46" s="35">
        <v>1</v>
      </c>
      <c r="AE46" s="35">
        <v>1</v>
      </c>
      <c r="AF46" s="32">
        <v>0</v>
      </c>
      <c r="AG46" s="35">
        <v>3</v>
      </c>
    </row>
    <row r="47" spans="2:33" s="2" customFormat="1" ht="43.5" customHeight="1" x14ac:dyDescent="0.25">
      <c r="B47" s="29" t="s">
        <v>59</v>
      </c>
      <c r="C47" s="27" t="s">
        <v>155</v>
      </c>
      <c r="D47" s="27" t="s">
        <v>172</v>
      </c>
      <c r="E47" s="27" t="s">
        <v>61</v>
      </c>
      <c r="F47" s="28">
        <v>0</v>
      </c>
      <c r="G47" s="31">
        <v>3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32">
        <v>0</v>
      </c>
    </row>
    <row r="48" spans="2:33" s="2" customFormat="1" ht="43.5" customHeight="1" x14ac:dyDescent="0.25">
      <c r="B48" s="29" t="s">
        <v>59</v>
      </c>
      <c r="C48" s="27" t="s">
        <v>155</v>
      </c>
      <c r="D48" s="27" t="s">
        <v>173</v>
      </c>
      <c r="E48" s="27" t="s">
        <v>127</v>
      </c>
      <c r="F48" s="28">
        <v>0</v>
      </c>
      <c r="G48" s="31">
        <v>4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58">
        <f>+(G49*G97)+(H49*H97)+(P49*P97)+(Q49*Q97)+(Y49*Y97)</f>
        <v>436200612.09216368</v>
      </c>
      <c r="AB48" s="32">
        <v>0</v>
      </c>
      <c r="AC48" s="32">
        <v>0</v>
      </c>
      <c r="AD48" s="32">
        <v>0</v>
      </c>
      <c r="AE48" s="32">
        <v>0</v>
      </c>
      <c r="AF48" s="32">
        <v>0</v>
      </c>
      <c r="AG48" s="32">
        <v>0</v>
      </c>
    </row>
    <row r="49" spans="2:33" s="53" customFormat="1" ht="19.5" customHeight="1" x14ac:dyDescent="0.25">
      <c r="B49" s="165" t="s">
        <v>74</v>
      </c>
      <c r="C49" s="165"/>
      <c r="D49" s="165"/>
      <c r="E49" s="165"/>
      <c r="F49" s="85">
        <f t="shared" ref="F49:Z49" si="6">SUM(F34:F48)</f>
        <v>0</v>
      </c>
      <c r="G49" s="85">
        <f t="shared" si="6"/>
        <v>27</v>
      </c>
      <c r="H49" s="85">
        <f t="shared" si="6"/>
        <v>1</v>
      </c>
      <c r="I49" s="85">
        <f t="shared" si="6"/>
        <v>0</v>
      </c>
      <c r="J49" s="85">
        <f t="shared" si="6"/>
        <v>0</v>
      </c>
      <c r="K49" s="85">
        <f t="shared" si="6"/>
        <v>0</v>
      </c>
      <c r="L49" s="85">
        <f t="shared" si="6"/>
        <v>0</v>
      </c>
      <c r="M49" s="85">
        <f t="shared" si="6"/>
        <v>0</v>
      </c>
      <c r="N49" s="85">
        <f t="shared" si="6"/>
        <v>0</v>
      </c>
      <c r="O49" s="85">
        <f t="shared" si="6"/>
        <v>0</v>
      </c>
      <c r="P49" s="85">
        <f t="shared" si="6"/>
        <v>1</v>
      </c>
      <c r="Q49" s="85">
        <f t="shared" si="6"/>
        <v>2</v>
      </c>
      <c r="R49" s="85">
        <f t="shared" si="6"/>
        <v>0</v>
      </c>
      <c r="S49" s="85">
        <f t="shared" si="6"/>
        <v>0</v>
      </c>
      <c r="T49" s="85">
        <f t="shared" si="6"/>
        <v>0</v>
      </c>
      <c r="U49" s="85">
        <f t="shared" si="6"/>
        <v>0</v>
      </c>
      <c r="V49" s="85">
        <f t="shared" si="6"/>
        <v>0</v>
      </c>
      <c r="W49" s="85">
        <f t="shared" si="6"/>
        <v>0</v>
      </c>
      <c r="X49" s="85">
        <f t="shared" si="6"/>
        <v>0</v>
      </c>
      <c r="Y49" s="85">
        <f t="shared" si="6"/>
        <v>1</v>
      </c>
      <c r="Z49" s="85">
        <f t="shared" si="6"/>
        <v>0</v>
      </c>
      <c r="AA49" s="86">
        <f>SUM(F49:Z49)</f>
        <v>32</v>
      </c>
      <c r="AB49" s="87">
        <f>SUM(AB34:AB48)</f>
        <v>108</v>
      </c>
      <c r="AC49" s="87">
        <f t="shared" ref="AC49:AG49" si="7">SUM(AC34:AC48)</f>
        <v>10</v>
      </c>
      <c r="AD49" s="87">
        <f t="shared" si="7"/>
        <v>8</v>
      </c>
      <c r="AE49" s="87">
        <f t="shared" si="7"/>
        <v>6</v>
      </c>
      <c r="AF49" s="87">
        <f t="shared" si="7"/>
        <v>0</v>
      </c>
      <c r="AG49" s="87">
        <f t="shared" si="7"/>
        <v>18</v>
      </c>
    </row>
    <row r="50" spans="2:33" s="2" customFormat="1" ht="49.5" customHeight="1" x14ac:dyDescent="0.25">
      <c r="B50" s="29" t="s">
        <v>75</v>
      </c>
      <c r="C50" s="27" t="s">
        <v>198</v>
      </c>
      <c r="D50" s="27" t="s">
        <v>196</v>
      </c>
      <c r="E50" s="27" t="s">
        <v>128</v>
      </c>
      <c r="F50" s="28">
        <v>0</v>
      </c>
      <c r="G50" s="31">
        <v>5</v>
      </c>
      <c r="H50" s="31">
        <v>1</v>
      </c>
      <c r="I50" s="28"/>
      <c r="J50" s="28"/>
      <c r="K50" s="28"/>
      <c r="L50" s="28">
        <v>0</v>
      </c>
      <c r="M50" s="28">
        <v>0</v>
      </c>
      <c r="N50" s="28">
        <v>0</v>
      </c>
      <c r="O50" s="28">
        <v>0</v>
      </c>
      <c r="P50" s="31">
        <v>1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B50" s="35">
        <v>45</v>
      </c>
      <c r="AC50" s="35">
        <v>2</v>
      </c>
      <c r="AD50" s="35">
        <v>2</v>
      </c>
      <c r="AE50" s="35">
        <v>2</v>
      </c>
      <c r="AF50" s="32">
        <v>0</v>
      </c>
      <c r="AG50" s="35">
        <v>1</v>
      </c>
    </row>
    <row r="51" spans="2:33" s="2" customFormat="1" ht="43.5" customHeight="1" x14ac:dyDescent="0.25">
      <c r="B51" s="29" t="s">
        <v>75</v>
      </c>
      <c r="C51" s="27" t="s">
        <v>198</v>
      </c>
      <c r="D51" s="27" t="s">
        <v>76</v>
      </c>
      <c r="E51" s="27" t="s">
        <v>128</v>
      </c>
      <c r="F51" s="28">
        <v>0</v>
      </c>
      <c r="G51" s="31">
        <v>1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31">
        <v>1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B51" s="35">
        <v>6</v>
      </c>
      <c r="AC51" s="35">
        <v>1</v>
      </c>
      <c r="AD51" s="35">
        <v>1</v>
      </c>
      <c r="AE51" s="35">
        <v>1</v>
      </c>
      <c r="AF51" s="32">
        <v>0</v>
      </c>
      <c r="AG51" s="35">
        <v>1</v>
      </c>
    </row>
    <row r="52" spans="2:33" s="2" customFormat="1" ht="43.5" customHeight="1" x14ac:dyDescent="0.25">
      <c r="B52" s="29" t="s">
        <v>75</v>
      </c>
      <c r="C52" s="27" t="s">
        <v>198</v>
      </c>
      <c r="D52" s="27" t="s">
        <v>156</v>
      </c>
      <c r="E52" s="27" t="s">
        <v>128</v>
      </c>
      <c r="F52" s="28">
        <v>0</v>
      </c>
      <c r="G52" s="31">
        <v>3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B52" s="35">
        <f>25</f>
        <v>25</v>
      </c>
      <c r="AC52" s="32">
        <v>0</v>
      </c>
      <c r="AD52" s="35">
        <f>2</f>
        <v>2</v>
      </c>
      <c r="AE52" s="35">
        <v>2</v>
      </c>
      <c r="AF52" s="32">
        <v>0</v>
      </c>
      <c r="AG52" s="35">
        <v>1</v>
      </c>
    </row>
    <row r="53" spans="2:33" s="2" customFormat="1" ht="49.5" customHeight="1" x14ac:dyDescent="0.25">
      <c r="B53" s="29" t="s">
        <v>75</v>
      </c>
      <c r="C53" s="27" t="s">
        <v>169</v>
      </c>
      <c r="D53" s="27" t="s">
        <v>157</v>
      </c>
      <c r="E53" s="27" t="s">
        <v>128</v>
      </c>
      <c r="F53" s="28">
        <v>0</v>
      </c>
      <c r="G53" s="31">
        <v>5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B53" s="35">
        <v>25</v>
      </c>
      <c r="AC53" s="35">
        <v>1</v>
      </c>
      <c r="AD53" s="35">
        <v>1</v>
      </c>
      <c r="AE53" s="35">
        <v>1</v>
      </c>
      <c r="AF53" s="32">
        <v>0</v>
      </c>
      <c r="AG53" s="35">
        <v>1</v>
      </c>
    </row>
    <row r="54" spans="2:33" s="2" customFormat="1" ht="43.5" customHeight="1" x14ac:dyDescent="0.25">
      <c r="B54" s="29" t="s">
        <v>75</v>
      </c>
      <c r="C54" s="27" t="s">
        <v>198</v>
      </c>
      <c r="D54" s="27" t="s">
        <v>170</v>
      </c>
      <c r="E54" s="27" t="s">
        <v>159</v>
      </c>
      <c r="F54" s="28">
        <v>0</v>
      </c>
      <c r="G54" s="31">
        <v>3</v>
      </c>
      <c r="H54" s="31">
        <v>1</v>
      </c>
      <c r="I54" s="28"/>
      <c r="J54" s="28"/>
      <c r="K54" s="28"/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58">
        <f>(AA56/30)*16</f>
        <v>219764298.25644687</v>
      </c>
      <c r="AB54" s="32">
        <v>0</v>
      </c>
      <c r="AC54" s="32">
        <v>0</v>
      </c>
      <c r="AD54" s="32">
        <v>0</v>
      </c>
      <c r="AE54" s="32">
        <v>0</v>
      </c>
      <c r="AF54" s="32">
        <v>0</v>
      </c>
      <c r="AG54" s="32">
        <v>0</v>
      </c>
    </row>
    <row r="55" spans="2:33" s="2" customFormat="1" ht="49.5" customHeight="1" x14ac:dyDescent="0.25">
      <c r="B55" s="29" t="s">
        <v>75</v>
      </c>
      <c r="C55" s="27" t="s">
        <v>169</v>
      </c>
      <c r="D55" s="27" t="s">
        <v>158</v>
      </c>
      <c r="E55" s="27" t="s">
        <v>129</v>
      </c>
      <c r="F55" s="28">
        <v>0</v>
      </c>
      <c r="G55" s="31">
        <v>7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B55" s="35">
        <v>15</v>
      </c>
      <c r="AC55" s="35">
        <v>1</v>
      </c>
      <c r="AD55" s="35">
        <v>1</v>
      </c>
      <c r="AE55" s="35">
        <v>1</v>
      </c>
      <c r="AF55" s="32">
        <v>0</v>
      </c>
      <c r="AG55" s="35">
        <v>1</v>
      </c>
    </row>
    <row r="56" spans="2:33" s="2" customFormat="1" ht="49.5" customHeight="1" x14ac:dyDescent="0.25">
      <c r="B56" s="29" t="s">
        <v>75</v>
      </c>
      <c r="C56" s="27" t="s">
        <v>169</v>
      </c>
      <c r="D56" s="27" t="s">
        <v>174</v>
      </c>
      <c r="E56" s="27" t="s">
        <v>129</v>
      </c>
      <c r="F56" s="28">
        <v>0</v>
      </c>
      <c r="G56" s="31">
        <v>1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58">
        <f>+(G57*G97)+(H57*H97)+(P57*P97)</f>
        <v>412058059.23083788</v>
      </c>
      <c r="AB56" s="35">
        <v>5</v>
      </c>
      <c r="AC56" s="35">
        <v>0</v>
      </c>
      <c r="AD56" s="35">
        <v>1</v>
      </c>
      <c r="AE56" s="35">
        <v>1</v>
      </c>
      <c r="AF56" s="32">
        <v>0</v>
      </c>
      <c r="AG56" s="35">
        <v>1</v>
      </c>
    </row>
    <row r="57" spans="2:33" s="53" customFormat="1" ht="19.5" customHeight="1" x14ac:dyDescent="0.25">
      <c r="B57" s="165" t="s">
        <v>77</v>
      </c>
      <c r="C57" s="165"/>
      <c r="D57" s="165"/>
      <c r="E57" s="165"/>
      <c r="F57" s="85">
        <f>SUM(F50:F56)</f>
        <v>0</v>
      </c>
      <c r="G57" s="85">
        <f>SUM(G50:G56)</f>
        <v>25</v>
      </c>
      <c r="H57" s="85">
        <f t="shared" ref="H57:Z57" si="8">SUM(H50:H56)</f>
        <v>2</v>
      </c>
      <c r="I57" s="85">
        <f t="shared" si="8"/>
        <v>0</v>
      </c>
      <c r="J57" s="85">
        <f t="shared" si="8"/>
        <v>0</v>
      </c>
      <c r="K57" s="85">
        <f t="shared" si="8"/>
        <v>0</v>
      </c>
      <c r="L57" s="85">
        <f t="shared" si="8"/>
        <v>0</v>
      </c>
      <c r="M57" s="85">
        <f t="shared" si="8"/>
        <v>0</v>
      </c>
      <c r="N57" s="85">
        <f t="shared" si="8"/>
        <v>0</v>
      </c>
      <c r="O57" s="85">
        <f t="shared" si="8"/>
        <v>0</v>
      </c>
      <c r="P57" s="85">
        <f t="shared" si="8"/>
        <v>2</v>
      </c>
      <c r="Q57" s="85">
        <f t="shared" si="8"/>
        <v>0</v>
      </c>
      <c r="R57" s="85">
        <f t="shared" si="8"/>
        <v>0</v>
      </c>
      <c r="S57" s="85">
        <f t="shared" si="8"/>
        <v>0</v>
      </c>
      <c r="T57" s="85">
        <f t="shared" si="8"/>
        <v>0</v>
      </c>
      <c r="U57" s="85">
        <f t="shared" si="8"/>
        <v>0</v>
      </c>
      <c r="V57" s="85">
        <f t="shared" si="8"/>
        <v>0</v>
      </c>
      <c r="W57" s="85">
        <f t="shared" si="8"/>
        <v>0</v>
      </c>
      <c r="X57" s="85">
        <f t="shared" si="8"/>
        <v>0</v>
      </c>
      <c r="Y57" s="85">
        <f t="shared" si="8"/>
        <v>0</v>
      </c>
      <c r="Z57" s="85">
        <f t="shared" si="8"/>
        <v>0</v>
      </c>
      <c r="AA57" s="86">
        <f>SUM(F57:Z57)</f>
        <v>29</v>
      </c>
      <c r="AB57" s="88">
        <f>SUM(AB50:AB56)</f>
        <v>121</v>
      </c>
      <c r="AC57" s="88">
        <f t="shared" ref="AC57:AG57" si="9">SUM(AC50:AC56)</f>
        <v>5</v>
      </c>
      <c r="AD57" s="88">
        <f t="shared" si="9"/>
        <v>8</v>
      </c>
      <c r="AE57" s="88">
        <f t="shared" si="9"/>
        <v>8</v>
      </c>
      <c r="AF57" s="88">
        <f t="shared" si="9"/>
        <v>0</v>
      </c>
      <c r="AG57" s="88">
        <f t="shared" si="9"/>
        <v>6</v>
      </c>
    </row>
    <row r="58" spans="2:33" s="2" customFormat="1" ht="49.5" customHeight="1" x14ac:dyDescent="0.25">
      <c r="B58" s="29" t="s">
        <v>78</v>
      </c>
      <c r="C58" s="27" t="s">
        <v>33</v>
      </c>
      <c r="D58" s="27" t="s">
        <v>160</v>
      </c>
      <c r="E58" s="27" t="s">
        <v>119</v>
      </c>
      <c r="F58" s="28">
        <v>0</v>
      </c>
      <c r="G58" s="31">
        <v>5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B58" s="35">
        <v>26</v>
      </c>
      <c r="AC58" s="35">
        <v>3</v>
      </c>
      <c r="AD58" s="35">
        <v>1</v>
      </c>
      <c r="AE58" s="35">
        <v>1</v>
      </c>
      <c r="AF58" s="35">
        <v>1</v>
      </c>
      <c r="AG58" s="35">
        <v>2</v>
      </c>
    </row>
    <row r="59" spans="2:33" s="2" customFormat="1" ht="49.5" customHeight="1" x14ac:dyDescent="0.25">
      <c r="B59" s="29" t="s">
        <v>78</v>
      </c>
      <c r="C59" s="27" t="s">
        <v>43</v>
      </c>
      <c r="D59" s="27" t="s">
        <v>164</v>
      </c>
      <c r="E59" s="27" t="s">
        <v>119</v>
      </c>
      <c r="F59" s="28">
        <v>0</v>
      </c>
      <c r="G59" s="31">
        <v>1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B59" s="32">
        <v>0</v>
      </c>
      <c r="AC59" s="32">
        <v>0</v>
      </c>
      <c r="AD59" s="32">
        <v>0</v>
      </c>
      <c r="AE59" s="32">
        <v>0</v>
      </c>
      <c r="AF59" s="32">
        <v>0</v>
      </c>
      <c r="AG59" s="32">
        <v>0</v>
      </c>
    </row>
    <row r="60" spans="2:33" s="2" customFormat="1" ht="44.25" customHeight="1" x14ac:dyDescent="0.25">
      <c r="B60" s="30" t="s">
        <v>78</v>
      </c>
      <c r="C60" s="27" t="s">
        <v>79</v>
      </c>
      <c r="D60" s="27" t="s">
        <v>161</v>
      </c>
      <c r="E60" s="27" t="s">
        <v>119</v>
      </c>
      <c r="F60" s="28">
        <v>0</v>
      </c>
      <c r="G60" s="36">
        <v>1</v>
      </c>
      <c r="H60" s="31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B60" s="32">
        <v>0</v>
      </c>
      <c r="AC60" s="32">
        <v>0</v>
      </c>
      <c r="AD60" s="32">
        <v>0</v>
      </c>
      <c r="AE60" s="32">
        <v>0</v>
      </c>
      <c r="AF60" s="32">
        <v>0</v>
      </c>
      <c r="AG60" s="32">
        <v>0</v>
      </c>
    </row>
    <row r="61" spans="2:33" s="2" customFormat="1" ht="44.25" customHeight="1" x14ac:dyDescent="0.25">
      <c r="B61" s="30" t="s">
        <v>78</v>
      </c>
      <c r="C61" s="27" t="s">
        <v>79</v>
      </c>
      <c r="D61" s="27" t="s">
        <v>162</v>
      </c>
      <c r="E61" s="27" t="s">
        <v>119</v>
      </c>
      <c r="F61" s="28">
        <v>0</v>
      </c>
      <c r="G61" s="36">
        <v>3</v>
      </c>
      <c r="H61" s="31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B61" s="35">
        <v>16</v>
      </c>
      <c r="AC61" s="32">
        <v>0</v>
      </c>
      <c r="AD61" s="35">
        <v>1</v>
      </c>
      <c r="AE61" s="35">
        <v>1</v>
      </c>
      <c r="AF61" s="35">
        <v>1</v>
      </c>
      <c r="AG61" s="35">
        <v>1</v>
      </c>
    </row>
    <row r="62" spans="2:33" s="2" customFormat="1" ht="44.25" customHeight="1" x14ac:dyDescent="0.25">
      <c r="B62" s="30" t="s">
        <v>78</v>
      </c>
      <c r="C62" s="27" t="s">
        <v>79</v>
      </c>
      <c r="D62" s="27" t="s">
        <v>163</v>
      </c>
      <c r="E62" s="27" t="s">
        <v>119</v>
      </c>
      <c r="F62" s="28">
        <v>0</v>
      </c>
      <c r="G62" s="36">
        <v>1</v>
      </c>
      <c r="H62" s="31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B62" s="32">
        <v>0</v>
      </c>
      <c r="AC62" s="32">
        <v>0</v>
      </c>
      <c r="AD62" s="32">
        <v>0</v>
      </c>
      <c r="AE62" s="32">
        <v>0</v>
      </c>
      <c r="AF62" s="32">
        <v>0</v>
      </c>
      <c r="AG62" s="32">
        <v>0</v>
      </c>
    </row>
    <row r="63" spans="2:33" s="2" customFormat="1" ht="44.25" customHeight="1" x14ac:dyDescent="0.25">
      <c r="B63" s="30" t="s">
        <v>78</v>
      </c>
      <c r="C63" s="27" t="s">
        <v>79</v>
      </c>
      <c r="D63" s="27" t="s">
        <v>80</v>
      </c>
      <c r="E63" s="27" t="s">
        <v>119</v>
      </c>
      <c r="F63" s="28">
        <v>0</v>
      </c>
      <c r="G63" s="36">
        <v>2</v>
      </c>
      <c r="H63" s="31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B63" s="35">
        <v>23</v>
      </c>
      <c r="AC63" s="32">
        <v>0</v>
      </c>
      <c r="AD63" s="35">
        <v>1</v>
      </c>
      <c r="AE63" s="35">
        <v>1</v>
      </c>
      <c r="AF63" s="35">
        <v>1</v>
      </c>
      <c r="AG63" s="35">
        <v>1</v>
      </c>
    </row>
    <row r="64" spans="2:33" s="2" customFormat="1" ht="49.5" customHeight="1" x14ac:dyDescent="0.25">
      <c r="B64" s="29" t="s">
        <v>78</v>
      </c>
      <c r="C64" s="27" t="s">
        <v>81</v>
      </c>
      <c r="D64" s="27" t="s">
        <v>82</v>
      </c>
      <c r="E64" s="27" t="s">
        <v>130</v>
      </c>
      <c r="F64" s="28">
        <v>0</v>
      </c>
      <c r="G64" s="31">
        <v>4</v>
      </c>
      <c r="H64" s="28">
        <v>0</v>
      </c>
      <c r="I64" s="28">
        <v>0</v>
      </c>
      <c r="J64" s="28">
        <v>0</v>
      </c>
      <c r="K64" s="28">
        <v>0</v>
      </c>
      <c r="L64" s="31">
        <v>1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31">
        <v>1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B64" s="35">
        <v>28</v>
      </c>
      <c r="AC64" s="35">
        <v>4</v>
      </c>
      <c r="AD64" s="35">
        <v>2</v>
      </c>
      <c r="AE64" s="35">
        <v>2</v>
      </c>
      <c r="AF64" s="35">
        <v>2</v>
      </c>
      <c r="AG64" s="35">
        <v>5</v>
      </c>
    </row>
    <row r="65" spans="2:33" s="2" customFormat="1" ht="49.5" customHeight="1" x14ac:dyDescent="0.25">
      <c r="B65" s="29" t="s">
        <v>78</v>
      </c>
      <c r="C65" s="27" t="s">
        <v>83</v>
      </c>
      <c r="D65" s="27" t="s">
        <v>141</v>
      </c>
      <c r="E65" s="27" t="s">
        <v>131</v>
      </c>
      <c r="F65" s="31">
        <v>2</v>
      </c>
      <c r="G65" s="31">
        <v>3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B65" s="35">
        <v>19</v>
      </c>
      <c r="AC65" s="35">
        <v>4</v>
      </c>
      <c r="AD65" s="35">
        <v>2</v>
      </c>
      <c r="AE65" s="35">
        <v>2</v>
      </c>
      <c r="AF65" s="35">
        <v>2</v>
      </c>
      <c r="AG65" s="35">
        <v>5</v>
      </c>
    </row>
    <row r="66" spans="2:33" s="2" customFormat="1" ht="44.25" customHeight="1" x14ac:dyDescent="0.25">
      <c r="B66" s="30" t="s">
        <v>78</v>
      </c>
      <c r="C66" s="27" t="s">
        <v>84</v>
      </c>
      <c r="D66" s="27" t="s">
        <v>85</v>
      </c>
      <c r="E66" s="27" t="s">
        <v>132</v>
      </c>
      <c r="F66" s="36">
        <v>1</v>
      </c>
      <c r="G66" s="36">
        <v>5</v>
      </c>
      <c r="H66" s="31">
        <v>1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B66" s="35">
        <v>67</v>
      </c>
      <c r="AC66" s="35">
        <v>2</v>
      </c>
      <c r="AD66" s="35">
        <v>3</v>
      </c>
      <c r="AE66" s="35">
        <v>3</v>
      </c>
      <c r="AF66" s="35">
        <v>1</v>
      </c>
      <c r="AG66" s="35">
        <v>3</v>
      </c>
    </row>
    <row r="67" spans="2:33" s="2" customFormat="1" ht="44.25" customHeight="1" x14ac:dyDescent="0.25">
      <c r="B67" s="30" t="s">
        <v>78</v>
      </c>
      <c r="C67" s="27" t="s">
        <v>84</v>
      </c>
      <c r="D67" s="27" t="s">
        <v>140</v>
      </c>
      <c r="E67" s="27" t="s">
        <v>132</v>
      </c>
      <c r="F67" s="28">
        <v>0</v>
      </c>
      <c r="G67" s="36">
        <v>1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B67" s="35">
        <v>8</v>
      </c>
      <c r="AC67" s="35">
        <v>1</v>
      </c>
      <c r="AD67" s="35">
        <v>1</v>
      </c>
      <c r="AE67" s="35">
        <v>1</v>
      </c>
      <c r="AF67" s="32">
        <v>0</v>
      </c>
      <c r="AG67" s="32">
        <v>0</v>
      </c>
    </row>
    <row r="68" spans="2:33" s="2" customFormat="1" ht="44.25" customHeight="1" x14ac:dyDescent="0.25">
      <c r="B68" s="30" t="s">
        <v>78</v>
      </c>
      <c r="C68" s="27" t="s">
        <v>84</v>
      </c>
      <c r="D68" s="27" t="s">
        <v>86</v>
      </c>
      <c r="E68" s="27" t="s">
        <v>132</v>
      </c>
      <c r="F68" s="28">
        <v>0</v>
      </c>
      <c r="G68" s="36">
        <v>2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B68" s="32">
        <v>0</v>
      </c>
      <c r="AC68" s="32">
        <v>0</v>
      </c>
      <c r="AD68" s="32">
        <v>0</v>
      </c>
      <c r="AE68" s="32">
        <v>0</v>
      </c>
      <c r="AF68" s="32">
        <v>0</v>
      </c>
      <c r="AG68" s="32">
        <v>0</v>
      </c>
    </row>
    <row r="69" spans="2:33" s="2" customFormat="1" ht="49.5" customHeight="1" x14ac:dyDescent="0.25">
      <c r="B69" s="29" t="s">
        <v>78</v>
      </c>
      <c r="C69" s="27" t="s">
        <v>87</v>
      </c>
      <c r="D69" s="27" t="s">
        <v>165</v>
      </c>
      <c r="E69" s="27" t="s">
        <v>132</v>
      </c>
      <c r="F69" s="28">
        <v>0</v>
      </c>
      <c r="G69" s="31">
        <v>2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B69" s="35">
        <v>13</v>
      </c>
      <c r="AC69" s="35">
        <v>3</v>
      </c>
      <c r="AD69" s="35">
        <v>1</v>
      </c>
      <c r="AE69" s="35">
        <v>1</v>
      </c>
      <c r="AF69" s="32">
        <v>0</v>
      </c>
      <c r="AG69" s="32">
        <v>0</v>
      </c>
    </row>
    <row r="70" spans="2:33" s="2" customFormat="1" ht="49.5" customHeight="1" x14ac:dyDescent="0.25">
      <c r="B70" s="29" t="s">
        <v>78</v>
      </c>
      <c r="C70" s="27" t="s">
        <v>87</v>
      </c>
      <c r="D70" s="27" t="s">
        <v>142</v>
      </c>
      <c r="E70" s="27" t="s">
        <v>132</v>
      </c>
      <c r="F70" s="28">
        <v>0</v>
      </c>
      <c r="G70" s="31">
        <v>1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B70" s="32">
        <v>0</v>
      </c>
      <c r="AC70" s="32">
        <v>0</v>
      </c>
      <c r="AD70" s="32">
        <v>0</v>
      </c>
      <c r="AE70" s="32">
        <v>0</v>
      </c>
      <c r="AF70" s="32">
        <v>0</v>
      </c>
      <c r="AG70" s="32">
        <v>0</v>
      </c>
    </row>
    <row r="71" spans="2:33" s="2" customFormat="1" ht="49.5" customHeight="1" x14ac:dyDescent="0.25">
      <c r="B71" s="29" t="s">
        <v>78</v>
      </c>
      <c r="C71" s="27" t="s">
        <v>87</v>
      </c>
      <c r="D71" s="27" t="s">
        <v>88</v>
      </c>
      <c r="E71" s="27" t="s">
        <v>133</v>
      </c>
      <c r="F71" s="28">
        <v>0</v>
      </c>
      <c r="G71" s="31">
        <v>3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31">
        <v>1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B71" s="35">
        <v>28</v>
      </c>
      <c r="AC71" s="35">
        <v>4</v>
      </c>
      <c r="AD71" s="32">
        <v>0</v>
      </c>
      <c r="AE71" s="32">
        <v>0</v>
      </c>
      <c r="AF71" s="35">
        <v>1</v>
      </c>
      <c r="AG71" s="35">
        <v>1</v>
      </c>
    </row>
    <row r="72" spans="2:33" s="2" customFormat="1" ht="49.5" customHeight="1" x14ac:dyDescent="0.25">
      <c r="B72" s="29" t="s">
        <v>78</v>
      </c>
      <c r="C72" s="27" t="s">
        <v>87</v>
      </c>
      <c r="D72" s="27" t="s">
        <v>192</v>
      </c>
      <c r="E72" s="27" t="s">
        <v>119</v>
      </c>
      <c r="F72" s="28">
        <v>0</v>
      </c>
      <c r="G72" s="31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31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B72" s="32">
        <v>0</v>
      </c>
      <c r="AC72" s="32">
        <v>0</v>
      </c>
      <c r="AD72" s="32">
        <v>0</v>
      </c>
      <c r="AE72" s="32">
        <v>0</v>
      </c>
      <c r="AF72" s="32">
        <v>0</v>
      </c>
      <c r="AG72" s="32">
        <v>0</v>
      </c>
    </row>
    <row r="73" spans="2:33" s="2" customFormat="1" ht="37.5" customHeight="1" x14ac:dyDescent="0.25">
      <c r="B73" s="30" t="s">
        <v>78</v>
      </c>
      <c r="C73" s="27" t="s">
        <v>89</v>
      </c>
      <c r="D73" s="27" t="s">
        <v>175</v>
      </c>
      <c r="E73" s="27" t="s">
        <v>120</v>
      </c>
      <c r="F73" s="33">
        <v>0</v>
      </c>
      <c r="G73" s="37">
        <v>3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34">
        <v>0</v>
      </c>
      <c r="V73" s="34">
        <v>0</v>
      </c>
      <c r="W73" s="34">
        <v>0</v>
      </c>
      <c r="X73" s="28">
        <v>0</v>
      </c>
      <c r="Y73" s="28">
        <v>0</v>
      </c>
      <c r="Z73" s="28">
        <v>0</v>
      </c>
      <c r="AB73" s="35">
        <v>24</v>
      </c>
      <c r="AC73" s="35">
        <v>1</v>
      </c>
      <c r="AD73" s="35">
        <v>1</v>
      </c>
      <c r="AE73" s="35">
        <v>1</v>
      </c>
      <c r="AF73" s="32">
        <v>0</v>
      </c>
      <c r="AG73" s="35">
        <v>4</v>
      </c>
    </row>
    <row r="74" spans="2:33" s="2" customFormat="1" ht="37.5" customHeight="1" x14ac:dyDescent="0.25">
      <c r="B74" s="30" t="s">
        <v>78</v>
      </c>
      <c r="C74" s="27" t="s">
        <v>89</v>
      </c>
      <c r="D74" s="27" t="s">
        <v>176</v>
      </c>
      <c r="E74" s="27" t="s">
        <v>118</v>
      </c>
      <c r="F74" s="33">
        <v>0</v>
      </c>
      <c r="G74" s="37">
        <v>1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34">
        <v>0</v>
      </c>
      <c r="V74" s="34">
        <v>0</v>
      </c>
      <c r="W74" s="34">
        <v>0</v>
      </c>
      <c r="X74" s="28">
        <v>0</v>
      </c>
      <c r="Y74" s="28">
        <v>0</v>
      </c>
      <c r="Z74" s="28">
        <v>0</v>
      </c>
      <c r="AB74" s="35">
        <v>8</v>
      </c>
      <c r="AC74" s="32">
        <v>0</v>
      </c>
      <c r="AD74" s="35">
        <v>1</v>
      </c>
      <c r="AE74" s="35">
        <v>1</v>
      </c>
      <c r="AF74" s="32">
        <v>0</v>
      </c>
      <c r="AG74" s="35">
        <v>2</v>
      </c>
    </row>
    <row r="75" spans="2:33" s="2" customFormat="1" ht="49.5" customHeight="1" x14ac:dyDescent="0.25">
      <c r="B75" s="29" t="s">
        <v>78</v>
      </c>
      <c r="C75" s="27" t="s">
        <v>90</v>
      </c>
      <c r="D75" s="27" t="s">
        <v>177</v>
      </c>
      <c r="E75" s="27" t="s">
        <v>116</v>
      </c>
      <c r="F75" s="28">
        <v>0</v>
      </c>
      <c r="G75" s="31">
        <v>3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B75" s="35">
        <v>9</v>
      </c>
      <c r="AC75" s="35">
        <v>2</v>
      </c>
      <c r="AD75" s="35">
        <v>1</v>
      </c>
      <c r="AE75" s="35">
        <v>1</v>
      </c>
      <c r="AF75" s="35">
        <v>1</v>
      </c>
      <c r="AG75" s="35">
        <v>2</v>
      </c>
    </row>
    <row r="76" spans="2:33" s="2" customFormat="1" ht="49.5" customHeight="1" x14ac:dyDescent="0.25">
      <c r="B76" s="29" t="s">
        <v>78</v>
      </c>
      <c r="C76" s="27" t="s">
        <v>91</v>
      </c>
      <c r="D76" s="27" t="s">
        <v>166</v>
      </c>
      <c r="E76" s="27" t="s">
        <v>117</v>
      </c>
      <c r="F76" s="28">
        <v>0</v>
      </c>
      <c r="G76" s="31">
        <v>3</v>
      </c>
      <c r="H76" s="28">
        <v>0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B76" s="35">
        <v>11</v>
      </c>
      <c r="AC76" s="35">
        <v>2</v>
      </c>
      <c r="AD76" s="35">
        <v>1</v>
      </c>
      <c r="AE76" s="35">
        <v>1</v>
      </c>
      <c r="AF76" s="32">
        <v>0</v>
      </c>
      <c r="AG76" s="35">
        <v>6</v>
      </c>
    </row>
    <row r="77" spans="2:33" s="2" customFormat="1" ht="49.5" customHeight="1" x14ac:dyDescent="0.25">
      <c r="B77" s="29" t="s">
        <v>78</v>
      </c>
      <c r="C77" s="27" t="s">
        <v>91</v>
      </c>
      <c r="D77" s="27" t="s">
        <v>199</v>
      </c>
      <c r="E77" s="27" t="s">
        <v>116</v>
      </c>
      <c r="F77" s="28">
        <v>0</v>
      </c>
      <c r="G77" s="31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31">
        <v>1</v>
      </c>
      <c r="X77" s="28">
        <v>0</v>
      </c>
      <c r="Y77" s="28">
        <v>0</v>
      </c>
      <c r="Z77" s="28">
        <v>0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32">
        <v>0</v>
      </c>
    </row>
    <row r="78" spans="2:33" s="2" customFormat="1" ht="49.5" customHeight="1" x14ac:dyDescent="0.25">
      <c r="B78" s="29" t="s">
        <v>78</v>
      </c>
      <c r="C78" s="27" t="s">
        <v>91</v>
      </c>
      <c r="D78" s="27" t="s">
        <v>92</v>
      </c>
      <c r="E78" s="27" t="s">
        <v>134</v>
      </c>
      <c r="F78" s="28">
        <v>0</v>
      </c>
      <c r="G78" s="31">
        <v>1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B78" s="35">
        <v>5</v>
      </c>
      <c r="AC78" s="35">
        <v>2</v>
      </c>
      <c r="AD78" s="35">
        <v>1</v>
      </c>
      <c r="AE78" s="35">
        <v>1</v>
      </c>
      <c r="AF78" s="32">
        <v>0</v>
      </c>
      <c r="AG78" s="35">
        <v>1</v>
      </c>
    </row>
    <row r="79" spans="2:33" s="2" customFormat="1" ht="44.25" customHeight="1" x14ac:dyDescent="0.25">
      <c r="B79" s="30" t="s">
        <v>78</v>
      </c>
      <c r="C79" s="27" t="s">
        <v>93</v>
      </c>
      <c r="D79" s="27" t="s">
        <v>167</v>
      </c>
      <c r="E79" s="27" t="s">
        <v>135</v>
      </c>
      <c r="F79" s="28">
        <v>0</v>
      </c>
      <c r="G79" s="36">
        <v>3</v>
      </c>
      <c r="H79" s="31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B79" s="35">
        <v>19</v>
      </c>
      <c r="AC79" s="32">
        <v>0</v>
      </c>
      <c r="AD79" s="35">
        <v>1</v>
      </c>
      <c r="AE79" s="35">
        <v>1</v>
      </c>
      <c r="AF79" s="32">
        <v>0</v>
      </c>
      <c r="AG79" s="35">
        <v>2</v>
      </c>
    </row>
    <row r="80" spans="2:33" s="2" customFormat="1" ht="44.25" customHeight="1" x14ac:dyDescent="0.25">
      <c r="B80" s="30" t="s">
        <v>78</v>
      </c>
      <c r="C80" s="27" t="s">
        <v>93</v>
      </c>
      <c r="D80" s="27" t="s">
        <v>194</v>
      </c>
      <c r="E80" s="27" t="s">
        <v>136</v>
      </c>
      <c r="F80" s="28">
        <v>0</v>
      </c>
      <c r="G80" s="36">
        <v>2</v>
      </c>
      <c r="H80" s="31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B80" s="35">
        <v>16</v>
      </c>
      <c r="AC80" s="32">
        <v>0</v>
      </c>
      <c r="AD80" s="35">
        <v>1</v>
      </c>
      <c r="AE80" s="35">
        <v>1</v>
      </c>
      <c r="AF80" s="32">
        <v>0</v>
      </c>
      <c r="AG80" s="32">
        <v>0</v>
      </c>
    </row>
    <row r="81" spans="2:33" s="2" customFormat="1" ht="44.25" customHeight="1" x14ac:dyDescent="0.25">
      <c r="B81" s="30" t="s">
        <v>78</v>
      </c>
      <c r="C81" s="27" t="s">
        <v>93</v>
      </c>
      <c r="D81" s="27" t="s">
        <v>143</v>
      </c>
      <c r="E81" s="27" t="s">
        <v>122</v>
      </c>
      <c r="F81" s="28">
        <v>0</v>
      </c>
      <c r="G81" s="36">
        <v>3</v>
      </c>
      <c r="H81" s="31">
        <v>0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B81" s="35">
        <v>15</v>
      </c>
      <c r="AC81" s="32">
        <v>0</v>
      </c>
      <c r="AD81" s="35">
        <v>1</v>
      </c>
      <c r="AE81" s="35">
        <v>1</v>
      </c>
      <c r="AF81" s="32">
        <v>0</v>
      </c>
      <c r="AG81" s="35">
        <v>2</v>
      </c>
    </row>
    <row r="82" spans="2:33" s="2" customFormat="1" ht="44.25" customHeight="1" x14ac:dyDescent="0.25">
      <c r="B82" s="30" t="s">
        <v>78</v>
      </c>
      <c r="C82" s="27" t="s">
        <v>93</v>
      </c>
      <c r="D82" s="27" t="s">
        <v>94</v>
      </c>
      <c r="E82" s="27" t="s">
        <v>137</v>
      </c>
      <c r="F82" s="28">
        <v>0</v>
      </c>
      <c r="G82" s="36">
        <v>1</v>
      </c>
      <c r="H82" s="31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B82" s="35">
        <v>22</v>
      </c>
      <c r="AC82" s="35">
        <v>4</v>
      </c>
      <c r="AD82" s="35">
        <v>1</v>
      </c>
      <c r="AE82" s="35">
        <v>1</v>
      </c>
      <c r="AF82" s="32">
        <v>0</v>
      </c>
      <c r="AG82" s="35">
        <v>4</v>
      </c>
    </row>
    <row r="83" spans="2:33" s="2" customFormat="1" ht="49.5" customHeight="1" x14ac:dyDescent="0.25">
      <c r="B83" s="29" t="s">
        <v>78</v>
      </c>
      <c r="C83" s="27" t="s">
        <v>95</v>
      </c>
      <c r="D83" s="27" t="s">
        <v>193</v>
      </c>
      <c r="E83" s="27" t="s">
        <v>138</v>
      </c>
      <c r="F83" s="28">
        <v>0</v>
      </c>
      <c r="G83" s="31">
        <v>5</v>
      </c>
      <c r="H83" s="31">
        <v>1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B83" s="35">
        <v>8</v>
      </c>
      <c r="AC83" s="35">
        <v>2</v>
      </c>
      <c r="AD83" s="35">
        <v>1</v>
      </c>
      <c r="AE83" s="35">
        <v>1</v>
      </c>
      <c r="AF83" s="32">
        <v>0</v>
      </c>
      <c r="AG83" s="32">
        <v>0</v>
      </c>
    </row>
    <row r="84" spans="2:33" s="2" customFormat="1" ht="49.5" customHeight="1" x14ac:dyDescent="0.25">
      <c r="B84" s="29" t="s">
        <v>78</v>
      </c>
      <c r="C84" s="27" t="s">
        <v>95</v>
      </c>
      <c r="D84" s="27" t="s">
        <v>168</v>
      </c>
      <c r="E84" s="27" t="s">
        <v>138</v>
      </c>
      <c r="F84" s="28">
        <v>0</v>
      </c>
      <c r="G84" s="31">
        <v>1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58">
        <f>(AA85/30)*16</f>
        <v>548838992.51344705</v>
      </c>
      <c r="AB84" s="35">
        <v>12</v>
      </c>
      <c r="AC84" s="32">
        <v>0</v>
      </c>
      <c r="AD84" s="35">
        <v>1</v>
      </c>
      <c r="AE84" s="35">
        <v>1</v>
      </c>
      <c r="AF84" s="32">
        <v>0</v>
      </c>
      <c r="AG84" s="32">
        <v>0</v>
      </c>
    </row>
    <row r="85" spans="2:33" s="2" customFormat="1" ht="49.5" customHeight="1" x14ac:dyDescent="0.25">
      <c r="B85" s="29" t="s">
        <v>78</v>
      </c>
      <c r="C85" s="27" t="s">
        <v>95</v>
      </c>
      <c r="D85" s="27" t="s">
        <v>139</v>
      </c>
      <c r="E85" s="27" t="s">
        <v>197</v>
      </c>
      <c r="F85" s="28">
        <v>0</v>
      </c>
      <c r="G85" s="31">
        <v>2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58">
        <f>+(F86*F97)+(G86*G97)+(H86*H97)+(L86*L97)+(P86*P97)+(U86*U97)+(W86*W97)</f>
        <v>1029073110.9627131</v>
      </c>
      <c r="AB85" s="32">
        <v>0</v>
      </c>
      <c r="AC85" s="32">
        <v>0</v>
      </c>
      <c r="AD85" s="32">
        <v>0</v>
      </c>
      <c r="AE85" s="32">
        <v>0</v>
      </c>
      <c r="AF85" s="32">
        <v>0</v>
      </c>
      <c r="AG85" s="32">
        <v>0</v>
      </c>
    </row>
    <row r="86" spans="2:33" s="53" customFormat="1" ht="25.5" customHeight="1" x14ac:dyDescent="0.25">
      <c r="B86" s="165" t="s">
        <v>96</v>
      </c>
      <c r="C86" s="165"/>
      <c r="D86" s="165"/>
      <c r="E86" s="165"/>
      <c r="F86" s="85">
        <f t="shared" ref="F86:Z86" si="10">SUM(F58:F85)</f>
        <v>3</v>
      </c>
      <c r="G86" s="85">
        <f t="shared" si="10"/>
        <v>62</v>
      </c>
      <c r="H86" s="85">
        <f t="shared" si="10"/>
        <v>2</v>
      </c>
      <c r="I86" s="85">
        <f t="shared" si="10"/>
        <v>0</v>
      </c>
      <c r="J86" s="85">
        <f t="shared" si="10"/>
        <v>0</v>
      </c>
      <c r="K86" s="85">
        <f t="shared" si="10"/>
        <v>0</v>
      </c>
      <c r="L86" s="85">
        <f t="shared" si="10"/>
        <v>1</v>
      </c>
      <c r="M86" s="85">
        <f t="shared" si="10"/>
        <v>0</v>
      </c>
      <c r="N86" s="85">
        <f t="shared" si="10"/>
        <v>0</v>
      </c>
      <c r="O86" s="85">
        <f t="shared" si="10"/>
        <v>0</v>
      </c>
      <c r="P86" s="85">
        <f t="shared" si="10"/>
        <v>2</v>
      </c>
      <c r="Q86" s="85">
        <f t="shared" si="10"/>
        <v>0</v>
      </c>
      <c r="R86" s="85">
        <f t="shared" si="10"/>
        <v>0</v>
      </c>
      <c r="S86" s="85">
        <f t="shared" si="10"/>
        <v>0</v>
      </c>
      <c r="T86" s="85">
        <f t="shared" si="10"/>
        <v>0</v>
      </c>
      <c r="U86" s="85">
        <f t="shared" si="10"/>
        <v>1</v>
      </c>
      <c r="V86" s="85">
        <f t="shared" si="10"/>
        <v>0</v>
      </c>
      <c r="W86" s="85">
        <f t="shared" si="10"/>
        <v>1</v>
      </c>
      <c r="X86" s="85">
        <f t="shared" si="10"/>
        <v>0</v>
      </c>
      <c r="Y86" s="85">
        <f t="shared" si="10"/>
        <v>0</v>
      </c>
      <c r="Z86" s="85">
        <f t="shared" si="10"/>
        <v>0</v>
      </c>
      <c r="AA86" s="86">
        <f>SUM(F86:Z86)</f>
        <v>72</v>
      </c>
      <c r="AB86" s="89">
        <f t="shared" ref="AB86:AG86" si="11">SUM(AB58:AB85)</f>
        <v>377</v>
      </c>
      <c r="AC86" s="89">
        <f t="shared" si="11"/>
        <v>34</v>
      </c>
      <c r="AD86" s="89">
        <f t="shared" si="11"/>
        <v>23</v>
      </c>
      <c r="AE86" s="89">
        <f t="shared" si="11"/>
        <v>23</v>
      </c>
      <c r="AF86" s="89">
        <f t="shared" si="11"/>
        <v>10</v>
      </c>
      <c r="AG86" s="89">
        <f t="shared" si="11"/>
        <v>41</v>
      </c>
    </row>
    <row r="87" spans="2:33" s="54" customFormat="1" ht="6" customHeight="1" x14ac:dyDescent="0.25">
      <c r="B87" s="55"/>
      <c r="C87" s="55"/>
      <c r="D87" s="55"/>
      <c r="E87" s="55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7"/>
    </row>
    <row r="88" spans="2:33" s="4" customFormat="1" ht="35.25" customHeight="1" x14ac:dyDescent="0.25">
      <c r="B88" s="3"/>
      <c r="C88" s="3"/>
      <c r="D88" s="3"/>
      <c r="E88" s="90" t="s">
        <v>97</v>
      </c>
      <c r="F88" s="91">
        <f t="shared" ref="F88:Z88" si="12">+F12+F18+F33+F49+F57+F86</f>
        <v>9</v>
      </c>
      <c r="G88" s="91">
        <f t="shared" si="12"/>
        <v>165</v>
      </c>
      <c r="H88" s="91">
        <f t="shared" si="12"/>
        <v>6</v>
      </c>
      <c r="I88" s="91">
        <f t="shared" si="12"/>
        <v>0</v>
      </c>
      <c r="J88" s="91">
        <f t="shared" si="12"/>
        <v>0</v>
      </c>
      <c r="K88" s="91">
        <f t="shared" si="12"/>
        <v>0</v>
      </c>
      <c r="L88" s="91">
        <f t="shared" si="12"/>
        <v>2</v>
      </c>
      <c r="M88" s="91">
        <f t="shared" si="12"/>
        <v>1</v>
      </c>
      <c r="N88" s="91">
        <f t="shared" si="12"/>
        <v>0</v>
      </c>
      <c r="O88" s="91">
        <f t="shared" si="12"/>
        <v>1</v>
      </c>
      <c r="P88" s="91">
        <f t="shared" si="12"/>
        <v>5</v>
      </c>
      <c r="Q88" s="91">
        <f t="shared" si="12"/>
        <v>4</v>
      </c>
      <c r="R88" s="91">
        <f t="shared" si="12"/>
        <v>0</v>
      </c>
      <c r="S88" s="91">
        <f t="shared" si="12"/>
        <v>0</v>
      </c>
      <c r="T88" s="91">
        <f t="shared" si="12"/>
        <v>0</v>
      </c>
      <c r="U88" s="91">
        <f t="shared" si="12"/>
        <v>1</v>
      </c>
      <c r="V88" s="91">
        <f t="shared" si="12"/>
        <v>1</v>
      </c>
      <c r="W88" s="91">
        <f t="shared" si="12"/>
        <v>1</v>
      </c>
      <c r="X88" s="91">
        <f t="shared" si="12"/>
        <v>1</v>
      </c>
      <c r="Y88" s="91">
        <f t="shared" si="12"/>
        <v>2</v>
      </c>
      <c r="Z88" s="91">
        <f t="shared" si="12"/>
        <v>0</v>
      </c>
      <c r="AA88" s="51"/>
      <c r="AB88" s="92">
        <f t="shared" ref="AB88:AG88" si="13">+AB12+AB18+AB33+AB49+AB57+AB86</f>
        <v>883</v>
      </c>
      <c r="AC88" s="92">
        <f t="shared" si="13"/>
        <v>59</v>
      </c>
      <c r="AD88" s="92">
        <f t="shared" si="13"/>
        <v>61</v>
      </c>
      <c r="AE88" s="92">
        <f t="shared" si="13"/>
        <v>59</v>
      </c>
      <c r="AF88" s="92">
        <f t="shared" si="13"/>
        <v>16</v>
      </c>
      <c r="AG88" s="92">
        <f t="shared" si="13"/>
        <v>94</v>
      </c>
    </row>
    <row r="89" spans="2:33" s="4" customFormat="1" ht="20.25" customHeight="1" x14ac:dyDescent="0.25">
      <c r="B89" s="3"/>
      <c r="C89" s="5"/>
      <c r="D89" s="5"/>
      <c r="E89" s="65" t="s">
        <v>98</v>
      </c>
      <c r="F89" s="66">
        <v>3</v>
      </c>
      <c r="G89" s="66">
        <v>3</v>
      </c>
      <c r="H89" s="66">
        <v>3</v>
      </c>
      <c r="I89" s="66">
        <v>3</v>
      </c>
      <c r="J89" s="66">
        <v>3</v>
      </c>
      <c r="K89" s="66">
        <v>3</v>
      </c>
      <c r="L89" s="66">
        <v>2</v>
      </c>
      <c r="M89" s="66">
        <v>2</v>
      </c>
      <c r="N89" s="66">
        <v>2</v>
      </c>
      <c r="O89" s="66">
        <v>1.5</v>
      </c>
      <c r="P89" s="67">
        <v>1.5</v>
      </c>
      <c r="Q89" s="67">
        <v>1.5</v>
      </c>
      <c r="R89" s="66">
        <v>1.5</v>
      </c>
      <c r="S89" s="66">
        <v>1.5</v>
      </c>
      <c r="T89" s="66">
        <v>1.5</v>
      </c>
      <c r="U89" s="66">
        <v>1</v>
      </c>
      <c r="V89" s="66">
        <v>1</v>
      </c>
      <c r="W89" s="66">
        <v>1</v>
      </c>
      <c r="X89" s="66">
        <v>1</v>
      </c>
      <c r="Y89" s="66">
        <v>1</v>
      </c>
      <c r="Z89" s="66">
        <v>1</v>
      </c>
      <c r="AA89" s="52"/>
    </row>
    <row r="90" spans="2:33" s="4" customFormat="1" ht="20.25" customHeight="1" x14ac:dyDescent="0.25">
      <c r="B90" s="3"/>
      <c r="C90" s="5"/>
      <c r="D90" s="5"/>
      <c r="E90" s="65" t="s">
        <v>99</v>
      </c>
      <c r="F90" s="66">
        <f>F89*F88</f>
        <v>27</v>
      </c>
      <c r="G90" s="66">
        <f t="shared" ref="G90:Z90" si="14">G89*G88</f>
        <v>495</v>
      </c>
      <c r="H90" s="66">
        <f t="shared" si="14"/>
        <v>18</v>
      </c>
      <c r="I90" s="66">
        <f t="shared" si="14"/>
        <v>0</v>
      </c>
      <c r="J90" s="66">
        <f t="shared" si="14"/>
        <v>0</v>
      </c>
      <c r="K90" s="66">
        <f t="shared" si="14"/>
        <v>0</v>
      </c>
      <c r="L90" s="66">
        <f t="shared" si="14"/>
        <v>4</v>
      </c>
      <c r="M90" s="66">
        <f t="shared" si="14"/>
        <v>2</v>
      </c>
      <c r="N90" s="66">
        <f t="shared" si="14"/>
        <v>0</v>
      </c>
      <c r="O90" s="66">
        <f t="shared" si="14"/>
        <v>1.5</v>
      </c>
      <c r="P90" s="67">
        <f t="shared" si="14"/>
        <v>7.5</v>
      </c>
      <c r="Q90" s="67">
        <f t="shared" si="14"/>
        <v>6</v>
      </c>
      <c r="R90" s="67">
        <f t="shared" si="14"/>
        <v>0</v>
      </c>
      <c r="S90" s="67">
        <f t="shared" si="14"/>
        <v>0</v>
      </c>
      <c r="T90" s="67">
        <f t="shared" si="14"/>
        <v>0</v>
      </c>
      <c r="U90" s="66">
        <f t="shared" si="14"/>
        <v>1</v>
      </c>
      <c r="V90" s="66">
        <f t="shared" si="14"/>
        <v>1</v>
      </c>
      <c r="W90" s="66">
        <f t="shared" si="14"/>
        <v>1</v>
      </c>
      <c r="X90" s="66">
        <f t="shared" si="14"/>
        <v>1</v>
      </c>
      <c r="Y90" s="66">
        <f t="shared" si="14"/>
        <v>2</v>
      </c>
      <c r="Z90" s="66">
        <f t="shared" si="14"/>
        <v>0</v>
      </c>
      <c r="AA90" s="51"/>
    </row>
    <row r="91" spans="2:33" s="4" customFormat="1" ht="35.25" customHeight="1" x14ac:dyDescent="0.25">
      <c r="B91" s="3"/>
      <c r="C91" s="5"/>
      <c r="D91" s="5"/>
      <c r="E91" s="65" t="s">
        <v>100</v>
      </c>
      <c r="F91" s="68">
        <v>3000</v>
      </c>
      <c r="G91" s="68">
        <f>$F$91</f>
        <v>3000</v>
      </c>
      <c r="H91" s="68">
        <f t="shared" ref="H91:Z91" si="15">$F$91</f>
        <v>3000</v>
      </c>
      <c r="I91" s="68">
        <f t="shared" si="15"/>
        <v>3000</v>
      </c>
      <c r="J91" s="68">
        <f t="shared" si="15"/>
        <v>3000</v>
      </c>
      <c r="K91" s="68">
        <f t="shared" si="15"/>
        <v>3000</v>
      </c>
      <c r="L91" s="68">
        <f t="shared" si="15"/>
        <v>3000</v>
      </c>
      <c r="M91" s="68">
        <f t="shared" si="15"/>
        <v>3000</v>
      </c>
      <c r="N91" s="68">
        <f t="shared" si="15"/>
        <v>3000</v>
      </c>
      <c r="O91" s="68">
        <f t="shared" si="15"/>
        <v>3000</v>
      </c>
      <c r="P91" s="68">
        <f t="shared" si="15"/>
        <v>3000</v>
      </c>
      <c r="Q91" s="68">
        <f t="shared" si="15"/>
        <v>3000</v>
      </c>
      <c r="R91" s="68">
        <f t="shared" si="15"/>
        <v>3000</v>
      </c>
      <c r="S91" s="68">
        <f t="shared" si="15"/>
        <v>3000</v>
      </c>
      <c r="T91" s="68">
        <f t="shared" si="15"/>
        <v>3000</v>
      </c>
      <c r="U91" s="68">
        <f t="shared" si="15"/>
        <v>3000</v>
      </c>
      <c r="V91" s="68">
        <f t="shared" si="15"/>
        <v>3000</v>
      </c>
      <c r="W91" s="68">
        <f t="shared" si="15"/>
        <v>3000</v>
      </c>
      <c r="X91" s="68">
        <f t="shared" si="15"/>
        <v>3000</v>
      </c>
      <c r="Y91" s="68">
        <f t="shared" si="15"/>
        <v>3000</v>
      </c>
      <c r="Z91" s="68">
        <f t="shared" si="15"/>
        <v>3000</v>
      </c>
      <c r="AA91" s="6"/>
    </row>
    <row r="92" spans="2:33" s="4" customFormat="1" ht="37.5" customHeight="1" x14ac:dyDescent="0.25">
      <c r="B92" s="3"/>
      <c r="C92" s="5"/>
      <c r="D92" s="5"/>
      <c r="E92" s="69" t="s">
        <v>101</v>
      </c>
      <c r="F92" s="70">
        <f>F91*F90</f>
        <v>81000</v>
      </c>
      <c r="G92" s="70">
        <f t="shared" ref="G92:Z92" si="16">G91*G90</f>
        <v>1485000</v>
      </c>
      <c r="H92" s="70">
        <f t="shared" si="16"/>
        <v>54000</v>
      </c>
      <c r="I92" s="70">
        <f t="shared" si="16"/>
        <v>0</v>
      </c>
      <c r="J92" s="70">
        <f t="shared" si="16"/>
        <v>0</v>
      </c>
      <c r="K92" s="70">
        <f t="shared" si="16"/>
        <v>0</v>
      </c>
      <c r="L92" s="70">
        <f t="shared" si="16"/>
        <v>12000</v>
      </c>
      <c r="M92" s="70">
        <f t="shared" si="16"/>
        <v>6000</v>
      </c>
      <c r="N92" s="70">
        <f t="shared" si="16"/>
        <v>0</v>
      </c>
      <c r="O92" s="70">
        <f t="shared" si="16"/>
        <v>4500</v>
      </c>
      <c r="P92" s="70">
        <f t="shared" si="16"/>
        <v>22500</v>
      </c>
      <c r="Q92" s="70">
        <f t="shared" si="16"/>
        <v>18000</v>
      </c>
      <c r="R92" s="70">
        <f t="shared" si="16"/>
        <v>0</v>
      </c>
      <c r="S92" s="70">
        <f t="shared" si="16"/>
        <v>0</v>
      </c>
      <c r="T92" s="70">
        <f t="shared" si="16"/>
        <v>0</v>
      </c>
      <c r="U92" s="70">
        <f t="shared" si="16"/>
        <v>3000</v>
      </c>
      <c r="V92" s="70">
        <f t="shared" si="16"/>
        <v>3000</v>
      </c>
      <c r="W92" s="70">
        <f t="shared" si="16"/>
        <v>3000</v>
      </c>
      <c r="X92" s="70">
        <f t="shared" si="16"/>
        <v>3000</v>
      </c>
      <c r="Y92" s="70">
        <f t="shared" si="16"/>
        <v>6000</v>
      </c>
      <c r="Z92" s="70">
        <f t="shared" si="16"/>
        <v>0</v>
      </c>
      <c r="AA92" s="50"/>
    </row>
    <row r="94" spans="2:33" ht="20.25" customHeight="1" x14ac:dyDescent="0.25">
      <c r="C94" s="12"/>
      <c r="D94" s="12"/>
      <c r="E94" s="47" t="s">
        <v>102</v>
      </c>
      <c r="F94" s="45">
        <f>((9.53*1423500)+(500*3))</f>
        <v>13567455</v>
      </c>
      <c r="G94" s="45">
        <f>(9.53*1423500+(500*3))</f>
        <v>13567455</v>
      </c>
      <c r="H94" s="45">
        <f>(9.53*1423500+(500*3))</f>
        <v>13567455</v>
      </c>
      <c r="I94" s="45">
        <f>(9.29*1423500+(500*3))</f>
        <v>13225814.999999998</v>
      </c>
      <c r="J94" s="45">
        <f>(9.29*1423500+(500*3))/30*20</f>
        <v>8817209.9999999981</v>
      </c>
      <c r="K94" s="45">
        <f>(9.29*1423500+(500*3))/30*24</f>
        <v>10580651.999999998</v>
      </c>
      <c r="L94" s="45">
        <f>(((9.53*1423500+(500*3))*55.97%)+((9.53*1423500+(500*3))*44.03%/9*1))</f>
        <v>8257454.6119999997</v>
      </c>
      <c r="M94" s="45">
        <f>(((9.53*1423500+(500*3))*55.97%)+((9.53*1423500+(500*3))*44.03%/9*1))/30*20</f>
        <v>5504969.7413333328</v>
      </c>
      <c r="N94" s="45">
        <f>(((9.29*1423500+(500*3))*55.97%)+((9.29*1423500+(500*3))*44.03%/9*1))/30*24</f>
        <v>6439619.9327999987</v>
      </c>
      <c r="O94" s="45">
        <f>((9.53*1423500+(500*3))*55.97%/15*12)</f>
        <v>6074963.650799999</v>
      </c>
      <c r="P94" s="45">
        <f>((9.53*1423500+(500*3))*55.97%/15*12)/30*20</f>
        <v>4049975.7671999997</v>
      </c>
      <c r="Q94" s="45">
        <f>((9.53*1423500+(500*3))*55.97%/15*12)/30*24</f>
        <v>4859970.9206399992</v>
      </c>
      <c r="R94" s="45">
        <f>(((9.29*1423500+(500*3))*55.97%/15*3)+((9.29*1423500+(500*3))*44.03%/9*9))</f>
        <v>7303824.0755999992</v>
      </c>
      <c r="S94" s="45">
        <f>((((9.29*1423500+(500*3))*55.97%/15*3)+((9.29*1423500+(500*3))*44.03%/9*9))/30)*24</f>
        <v>5843059.2604799997</v>
      </c>
      <c r="T94" s="45">
        <f>(((9.29*1423500+(500*3))*55.97%/15*3)+((9.29*1423500+(500*3))*44.03%/9*9))</f>
        <v>7303824.0755999992</v>
      </c>
      <c r="U94" s="45">
        <f>((9.53*1423500+(500*3))*44.03%/9*8)</f>
        <v>5310000.3880000003</v>
      </c>
      <c r="V94" s="45">
        <f>((9.53*1423500+(500*3))*44.03%/9*8)</f>
        <v>5310000.3880000003</v>
      </c>
      <c r="W94" s="45">
        <f>(9.53*1423500+(500*3))*44.03%/9*8/30*20</f>
        <v>3540000.2586666672</v>
      </c>
      <c r="X94" s="45">
        <f>(9.53*1423500+(500*3))*55.97%/15*8/30*24</f>
        <v>3239980.6137599992</v>
      </c>
      <c r="Y94" s="45">
        <f>(9.53*1423500+(500*3))*55.97%/15*8/30*20</f>
        <v>2699983.8447999996</v>
      </c>
      <c r="Z94" s="45">
        <f>((9.53*1423500+(500*3))*55.97%/15*8)</f>
        <v>4049975.7671999997</v>
      </c>
      <c r="AB94" s="45">
        <v>11227</v>
      </c>
      <c r="AC94" s="45">
        <v>43635</v>
      </c>
      <c r="AD94" s="45">
        <v>55898</v>
      </c>
      <c r="AE94" s="45">
        <v>40588</v>
      </c>
      <c r="AF94" s="45">
        <v>127990</v>
      </c>
      <c r="AG94" s="45">
        <v>43069</v>
      </c>
    </row>
    <row r="95" spans="2:33" ht="20.25" customHeight="1" x14ac:dyDescent="0.25">
      <c r="C95" s="12"/>
      <c r="D95" s="12"/>
      <c r="E95" s="47" t="s">
        <v>103</v>
      </c>
      <c r="F95" s="45">
        <f>+F94*0.1</f>
        <v>1356745.5</v>
      </c>
      <c r="G95" s="45">
        <f>+G94*0.08</f>
        <v>1085396.3999999999</v>
      </c>
      <c r="H95" s="45">
        <f t="shared" ref="H95:Z95" si="17">+H94*0.08</f>
        <v>1085396.3999999999</v>
      </c>
      <c r="I95" s="45">
        <f>+I94*0.11</f>
        <v>1454839.65</v>
      </c>
      <c r="J95" s="45">
        <f t="shared" si="17"/>
        <v>705376.79999999981</v>
      </c>
      <c r="K95" s="45">
        <f t="shared" si="17"/>
        <v>846452.15999999992</v>
      </c>
      <c r="L95" s="45">
        <f t="shared" si="17"/>
        <v>660596.36895999999</v>
      </c>
      <c r="M95" s="45">
        <f t="shared" si="17"/>
        <v>440397.57930666662</v>
      </c>
      <c r="N95" s="45">
        <f t="shared" si="17"/>
        <v>515169.5946239999</v>
      </c>
      <c r="O95" s="45">
        <f t="shared" si="17"/>
        <v>485997.09206399991</v>
      </c>
      <c r="P95" s="45">
        <f t="shared" si="17"/>
        <v>323998.061376</v>
      </c>
      <c r="Q95" s="45">
        <f t="shared" si="17"/>
        <v>388797.67365119996</v>
      </c>
      <c r="R95" s="45">
        <f t="shared" si="17"/>
        <v>584305.92604799999</v>
      </c>
      <c r="S95" s="45">
        <f t="shared" si="17"/>
        <v>467444.74083839997</v>
      </c>
      <c r="T95" s="45">
        <f>+T94*0.1</f>
        <v>730382.40755999996</v>
      </c>
      <c r="U95" s="45">
        <f>+U94*0.1</f>
        <v>531000.0388000001</v>
      </c>
      <c r="V95" s="45">
        <f t="shared" si="17"/>
        <v>424800.03104000003</v>
      </c>
      <c r="W95" s="45">
        <f t="shared" si="17"/>
        <v>283200.02069333335</v>
      </c>
      <c r="X95" s="45">
        <f t="shared" si="17"/>
        <v>259198.44910079995</v>
      </c>
      <c r="Y95" s="45">
        <f t="shared" si="17"/>
        <v>215998.70758399996</v>
      </c>
      <c r="Z95" s="45">
        <f t="shared" si="17"/>
        <v>323998.061376</v>
      </c>
      <c r="AB95" s="45">
        <v>0</v>
      </c>
      <c r="AC95" s="45">
        <v>0</v>
      </c>
      <c r="AD95" s="45">
        <v>0</v>
      </c>
      <c r="AE95" s="45">
        <v>0</v>
      </c>
      <c r="AF95" s="45">
        <v>0</v>
      </c>
      <c r="AG95" s="45">
        <v>0</v>
      </c>
    </row>
    <row r="96" spans="2:33" ht="20.25" customHeight="1" x14ac:dyDescent="0.25">
      <c r="C96" s="12"/>
      <c r="D96" s="12"/>
      <c r="E96" s="47" t="s">
        <v>104</v>
      </c>
      <c r="F96" s="45">
        <f>+(F94+F95)*0.019</f>
        <v>283559.80949999997</v>
      </c>
      <c r="G96" s="45">
        <f t="shared" ref="G96:Z96" si="18">+(G94+G95)*0.019</f>
        <v>278404.17660000001</v>
      </c>
      <c r="H96" s="45">
        <f t="shared" si="18"/>
        <v>278404.17660000001</v>
      </c>
      <c r="I96" s="45">
        <f t="shared" si="18"/>
        <v>278932.43834999995</v>
      </c>
      <c r="J96" s="45">
        <f t="shared" si="18"/>
        <v>180929.14919999993</v>
      </c>
      <c r="K96" s="45">
        <f t="shared" si="18"/>
        <v>217114.97903999998</v>
      </c>
      <c r="L96" s="45">
        <f t="shared" si="18"/>
        <v>169442.96863824001</v>
      </c>
      <c r="M96" s="45">
        <f t="shared" si="18"/>
        <v>112961.97909215999</v>
      </c>
      <c r="N96" s="45">
        <f t="shared" si="18"/>
        <v>132141.00102105597</v>
      </c>
      <c r="O96" s="45">
        <f t="shared" si="18"/>
        <v>124658.25411441598</v>
      </c>
      <c r="P96" s="45">
        <f t="shared" si="18"/>
        <v>83105.502742943994</v>
      </c>
      <c r="Q96" s="45">
        <f t="shared" si="18"/>
        <v>99726.603291532781</v>
      </c>
      <c r="R96" s="45">
        <f t="shared" si="18"/>
        <v>149874.470031312</v>
      </c>
      <c r="S96" s="45">
        <f t="shared" si="18"/>
        <v>119899.5760250496</v>
      </c>
      <c r="T96" s="45">
        <f t="shared" si="18"/>
        <v>152649.92318003997</v>
      </c>
      <c r="U96" s="45">
        <f t="shared" si="18"/>
        <v>110979.0081092</v>
      </c>
      <c r="V96" s="45">
        <f t="shared" si="18"/>
        <v>108961.20796176</v>
      </c>
      <c r="W96" s="45">
        <f t="shared" si="18"/>
        <v>72640.805307840012</v>
      </c>
      <c r="X96" s="45">
        <f t="shared" si="18"/>
        <v>66484.402194355178</v>
      </c>
      <c r="Y96" s="45">
        <f t="shared" si="18"/>
        <v>55403.668495295984</v>
      </c>
      <c r="Z96" s="45">
        <f t="shared" si="18"/>
        <v>83105.502742943994</v>
      </c>
      <c r="AB96" s="45">
        <f>+AB94*0.19</f>
        <v>2133.13</v>
      </c>
      <c r="AC96" s="45">
        <f t="shared" ref="AC96:AG96" si="19">+AC94*0.19</f>
        <v>8290.65</v>
      </c>
      <c r="AD96" s="45">
        <f t="shared" si="19"/>
        <v>10620.62</v>
      </c>
      <c r="AE96" s="45">
        <f t="shared" si="19"/>
        <v>7711.72</v>
      </c>
      <c r="AF96" s="45">
        <f t="shared" si="19"/>
        <v>24318.1</v>
      </c>
      <c r="AG96" s="45">
        <f t="shared" si="19"/>
        <v>8183.11</v>
      </c>
    </row>
    <row r="97" spans="2:33" ht="20.25" customHeight="1" x14ac:dyDescent="0.25">
      <c r="C97" s="12"/>
      <c r="D97" s="12"/>
      <c r="E97" s="48" t="s">
        <v>105</v>
      </c>
      <c r="F97" s="49">
        <f>+F94+F95+F96</f>
        <v>15207760.3095</v>
      </c>
      <c r="G97" s="49">
        <f>+G94+G95+G96</f>
        <v>14931255.5766</v>
      </c>
      <c r="H97" s="49">
        <f t="shared" ref="H97:Z97" si="20">+H94+H95+H96</f>
        <v>14931255.5766</v>
      </c>
      <c r="I97" s="49">
        <f t="shared" si="20"/>
        <v>14959587.088349998</v>
      </c>
      <c r="J97" s="49">
        <f t="shared" si="20"/>
        <v>9703515.9491999969</v>
      </c>
      <c r="K97" s="49">
        <f t="shared" si="20"/>
        <v>11644219.139039999</v>
      </c>
      <c r="L97" s="49">
        <f>+L94+L95+L96</f>
        <v>9087493.9495982397</v>
      </c>
      <c r="M97" s="49">
        <f t="shared" si="20"/>
        <v>6058329.2997321598</v>
      </c>
      <c r="N97" s="49">
        <f t="shared" si="20"/>
        <v>7086930.5284450538</v>
      </c>
      <c r="O97" s="49">
        <f t="shared" si="20"/>
        <v>6685618.9969784152</v>
      </c>
      <c r="P97" s="49">
        <f t="shared" si="20"/>
        <v>4457079.3313189438</v>
      </c>
      <c r="Q97" s="49">
        <f t="shared" si="20"/>
        <v>5348495.197582732</v>
      </c>
      <c r="R97" s="49">
        <f t="shared" si="20"/>
        <v>8038004.4716793112</v>
      </c>
      <c r="S97" s="49">
        <f t="shared" si="20"/>
        <v>6430403.577343449</v>
      </c>
      <c r="T97" s="49">
        <f t="shared" si="20"/>
        <v>8186856.4063400393</v>
      </c>
      <c r="U97" s="49">
        <f t="shared" si="20"/>
        <v>5951979.4349092003</v>
      </c>
      <c r="V97" s="49">
        <f t="shared" si="20"/>
        <v>5843761.6270017605</v>
      </c>
      <c r="W97" s="49">
        <f t="shared" si="20"/>
        <v>3895841.0846678405</v>
      </c>
      <c r="X97" s="49">
        <f t="shared" si="20"/>
        <v>3565663.4650551542</v>
      </c>
      <c r="Y97" s="49">
        <f t="shared" si="20"/>
        <v>2971386.2208792954</v>
      </c>
      <c r="Z97" s="49">
        <f t="shared" si="20"/>
        <v>4457079.3313189438</v>
      </c>
      <c r="AB97" s="44">
        <f>+AB94+AB96</f>
        <v>13360.130000000001</v>
      </c>
      <c r="AC97" s="44">
        <f t="shared" ref="AC97:AG97" si="21">+AC94+AC96</f>
        <v>51925.65</v>
      </c>
      <c r="AD97" s="44">
        <f t="shared" si="21"/>
        <v>66518.62</v>
      </c>
      <c r="AE97" s="44">
        <f t="shared" si="21"/>
        <v>48299.72</v>
      </c>
      <c r="AF97" s="44">
        <f t="shared" si="21"/>
        <v>152308.1</v>
      </c>
      <c r="AG97" s="44">
        <f t="shared" si="21"/>
        <v>51252.11</v>
      </c>
    </row>
    <row r="99" spans="2:33" ht="18" customHeight="1" x14ac:dyDescent="0.25">
      <c r="C99" s="12"/>
      <c r="D99" s="12"/>
      <c r="E99" s="74" t="s">
        <v>106</v>
      </c>
      <c r="F99" s="75">
        <f>+F88*(F$94+F$95)</f>
        <v>134317804.5</v>
      </c>
      <c r="G99" s="75">
        <f>+(G88)*(G$94+G$95)</f>
        <v>2417720481</v>
      </c>
      <c r="H99" s="75">
        <f>+H88*(H$94+H$95)</f>
        <v>87917108.400000006</v>
      </c>
      <c r="I99" s="75">
        <f t="shared" ref="I99:Z99" si="22">+I88*(I$94+I$95)</f>
        <v>0</v>
      </c>
      <c r="J99" s="75">
        <f t="shared" si="22"/>
        <v>0</v>
      </c>
      <c r="K99" s="75">
        <f t="shared" si="22"/>
        <v>0</v>
      </c>
      <c r="L99" s="75">
        <f t="shared" si="22"/>
        <v>17836101.961920001</v>
      </c>
      <c r="M99" s="75">
        <f>+M88*(M$94+M$95)</f>
        <v>5945367.3206399996</v>
      </c>
      <c r="N99" s="75">
        <f t="shared" si="22"/>
        <v>0</v>
      </c>
      <c r="O99" s="75">
        <f t="shared" si="22"/>
        <v>6560960.7428639987</v>
      </c>
      <c r="P99" s="75">
        <f t="shared" si="22"/>
        <v>21869869.142879996</v>
      </c>
      <c r="Q99" s="75">
        <f t="shared" si="22"/>
        <v>20995074.377164796</v>
      </c>
      <c r="R99" s="75">
        <f t="shared" si="22"/>
        <v>0</v>
      </c>
      <c r="S99" s="75">
        <f t="shared" si="22"/>
        <v>0</v>
      </c>
      <c r="T99" s="75">
        <f t="shared" si="22"/>
        <v>0</v>
      </c>
      <c r="U99" s="75">
        <f t="shared" si="22"/>
        <v>5841000.4268000005</v>
      </c>
      <c r="V99" s="75">
        <f t="shared" si="22"/>
        <v>5734800.4190400001</v>
      </c>
      <c r="W99" s="75">
        <f t="shared" si="22"/>
        <v>3823200.2793600005</v>
      </c>
      <c r="X99" s="75">
        <f t="shared" si="22"/>
        <v>3499179.062860799</v>
      </c>
      <c r="Y99" s="75">
        <f t="shared" si="22"/>
        <v>5831965.1047679987</v>
      </c>
      <c r="Z99" s="75">
        <f t="shared" si="22"/>
        <v>0</v>
      </c>
      <c r="AA99" s="10"/>
      <c r="AB99" s="76">
        <f>+AB88*(AB94+AB95)</f>
        <v>9913441</v>
      </c>
      <c r="AC99" s="76">
        <f t="shared" ref="AC99:AG99" si="23">+AC88*(AC94+AC95)</f>
        <v>2574465</v>
      </c>
      <c r="AD99" s="76">
        <f t="shared" si="23"/>
        <v>3409778</v>
      </c>
      <c r="AE99" s="76">
        <f t="shared" si="23"/>
        <v>2394692</v>
      </c>
      <c r="AF99" s="76">
        <f t="shared" si="23"/>
        <v>2047840</v>
      </c>
      <c r="AG99" s="76">
        <f t="shared" si="23"/>
        <v>4048486</v>
      </c>
    </row>
    <row r="100" spans="2:33" s="12" customFormat="1" ht="18" customHeight="1" x14ac:dyDescent="0.25">
      <c r="E100" s="74" t="s">
        <v>107</v>
      </c>
      <c r="F100" s="75">
        <f>(F$96*F88)</f>
        <v>2552038.2854999998</v>
      </c>
      <c r="G100" s="75">
        <f>(G$96*(G88))</f>
        <v>45936689.138999999</v>
      </c>
      <c r="H100" s="75">
        <f t="shared" ref="H100:Z100" si="24">(H$96*H88)</f>
        <v>1670425.0596</v>
      </c>
      <c r="I100" s="75">
        <f t="shared" si="24"/>
        <v>0</v>
      </c>
      <c r="J100" s="75">
        <f t="shared" si="24"/>
        <v>0</v>
      </c>
      <c r="K100" s="75">
        <f t="shared" si="24"/>
        <v>0</v>
      </c>
      <c r="L100" s="75">
        <f t="shared" si="24"/>
        <v>338885.93727648002</v>
      </c>
      <c r="M100" s="75">
        <f t="shared" si="24"/>
        <v>112961.97909215999</v>
      </c>
      <c r="N100" s="75">
        <f t="shared" si="24"/>
        <v>0</v>
      </c>
      <c r="O100" s="75">
        <f t="shared" si="24"/>
        <v>124658.25411441598</v>
      </c>
      <c r="P100" s="75">
        <f t="shared" si="24"/>
        <v>415527.51371471997</v>
      </c>
      <c r="Q100" s="75">
        <f t="shared" si="24"/>
        <v>398906.41316613113</v>
      </c>
      <c r="R100" s="75">
        <f t="shared" si="24"/>
        <v>0</v>
      </c>
      <c r="S100" s="75">
        <f t="shared" si="24"/>
        <v>0</v>
      </c>
      <c r="T100" s="75">
        <f t="shared" si="24"/>
        <v>0</v>
      </c>
      <c r="U100" s="75">
        <f t="shared" si="24"/>
        <v>110979.0081092</v>
      </c>
      <c r="V100" s="75">
        <f t="shared" si="24"/>
        <v>108961.20796176</v>
      </c>
      <c r="W100" s="75">
        <f t="shared" si="24"/>
        <v>72640.805307840012</v>
      </c>
      <c r="X100" s="75">
        <f t="shared" si="24"/>
        <v>66484.402194355178</v>
      </c>
      <c r="Y100" s="75">
        <f t="shared" si="24"/>
        <v>110807.33699059197</v>
      </c>
      <c r="Z100" s="75">
        <f t="shared" si="24"/>
        <v>0</v>
      </c>
      <c r="AA100" s="11"/>
      <c r="AB100" s="76">
        <f t="shared" ref="AB100:AG100" si="25">+ROUND(((AB12+AB18+AB33+AB49+AB57+AB86)*AB96),0)</f>
        <v>1883554</v>
      </c>
      <c r="AC100" s="76">
        <f t="shared" si="25"/>
        <v>489148</v>
      </c>
      <c r="AD100" s="76">
        <f t="shared" si="25"/>
        <v>647858</v>
      </c>
      <c r="AE100" s="76">
        <f t="shared" si="25"/>
        <v>454991</v>
      </c>
      <c r="AF100" s="76">
        <f t="shared" si="25"/>
        <v>389090</v>
      </c>
      <c r="AG100" s="76">
        <f t="shared" si="25"/>
        <v>769212</v>
      </c>
    </row>
    <row r="101" spans="2:33" s="12" customFormat="1" ht="18" customHeight="1" x14ac:dyDescent="0.25">
      <c r="B101" s="46"/>
      <c r="C101" s="46"/>
      <c r="D101" s="46"/>
      <c r="E101" s="73" t="s">
        <v>200</v>
      </c>
      <c r="F101" s="78">
        <f>+F99+F100</f>
        <v>136869842.78549999</v>
      </c>
      <c r="G101" s="78">
        <f>+G99+G100</f>
        <v>2463657170.1389999</v>
      </c>
      <c r="H101" s="78">
        <f t="shared" ref="H101:Y101" si="26">+H99+H100</f>
        <v>89587533.459600002</v>
      </c>
      <c r="I101" s="78">
        <f t="shared" si="26"/>
        <v>0</v>
      </c>
      <c r="J101" s="78">
        <f t="shared" si="26"/>
        <v>0</v>
      </c>
      <c r="K101" s="78">
        <f t="shared" si="26"/>
        <v>0</v>
      </c>
      <c r="L101" s="78">
        <f t="shared" si="26"/>
        <v>18174987.899196479</v>
      </c>
      <c r="M101" s="78">
        <f>+M99+M100</f>
        <v>6058329.2997321598</v>
      </c>
      <c r="N101" s="78">
        <f t="shared" si="26"/>
        <v>0</v>
      </c>
      <c r="O101" s="78">
        <f t="shared" si="26"/>
        <v>6685618.9969784152</v>
      </c>
      <c r="P101" s="78">
        <f t="shared" si="26"/>
        <v>22285396.656594716</v>
      </c>
      <c r="Q101" s="78">
        <f t="shared" si="26"/>
        <v>21393980.790330928</v>
      </c>
      <c r="R101" s="78">
        <f t="shared" si="26"/>
        <v>0</v>
      </c>
      <c r="S101" s="78">
        <f t="shared" si="26"/>
        <v>0</v>
      </c>
      <c r="T101" s="78">
        <f t="shared" si="26"/>
        <v>0</v>
      </c>
      <c r="U101" s="78">
        <f t="shared" si="26"/>
        <v>5951979.4349092003</v>
      </c>
      <c r="V101" s="78">
        <f t="shared" si="26"/>
        <v>5843761.6270017605</v>
      </c>
      <c r="W101" s="78">
        <f t="shared" si="26"/>
        <v>3895841.0846678405</v>
      </c>
      <c r="X101" s="78">
        <f t="shared" si="26"/>
        <v>3565663.4650551542</v>
      </c>
      <c r="Y101" s="78">
        <f t="shared" si="26"/>
        <v>5942772.4417585908</v>
      </c>
      <c r="Z101" s="78">
        <f>+Z99+Z100</f>
        <v>0</v>
      </c>
      <c r="AA101" s="11"/>
      <c r="AB101" s="77">
        <f>+AB99+AB100</f>
        <v>11796995</v>
      </c>
      <c r="AC101" s="77">
        <f t="shared" ref="AC101:AG101" si="27">+AC99+AC100</f>
        <v>3063613</v>
      </c>
      <c r="AD101" s="77">
        <f t="shared" si="27"/>
        <v>4057636</v>
      </c>
      <c r="AE101" s="77">
        <f t="shared" si="27"/>
        <v>2849683</v>
      </c>
      <c r="AF101" s="77">
        <f t="shared" si="27"/>
        <v>2436930</v>
      </c>
      <c r="AG101" s="77">
        <f t="shared" si="27"/>
        <v>4817698</v>
      </c>
    </row>
    <row r="102" spans="2:33" ht="17.25" customHeight="1" x14ac:dyDescent="0.25">
      <c r="D102" s="13"/>
      <c r="E102" s="14"/>
      <c r="F102" s="15"/>
      <c r="G102" s="16"/>
      <c r="H102" s="16"/>
      <c r="I102" s="16"/>
      <c r="J102" s="16"/>
      <c r="K102" s="16"/>
      <c r="L102" s="16"/>
      <c r="M102" s="16"/>
      <c r="O102" s="17"/>
      <c r="W102" s="18"/>
      <c r="Y102" s="71"/>
      <c r="Z102" s="72"/>
      <c r="AA102" s="19"/>
      <c r="AB102" s="71"/>
      <c r="AC102" s="72"/>
    </row>
    <row r="103" spans="2:33" ht="31.5" x14ac:dyDescent="0.25">
      <c r="C103" s="79" t="s">
        <v>108</v>
      </c>
      <c r="D103" s="79" t="s">
        <v>109</v>
      </c>
    </row>
    <row r="104" spans="2:33" ht="22.5" customHeight="1" x14ac:dyDescent="0.25">
      <c r="C104" s="63">
        <f>+AA11+AA17+AA32+AA48+AA56+AA85</f>
        <v>2789912878.0803251</v>
      </c>
      <c r="D104" s="63">
        <f>SUM(AB101:AG101)</f>
        <v>29022555</v>
      </c>
    </row>
    <row r="105" spans="2:33" ht="27" customHeight="1" x14ac:dyDescent="0.25"/>
    <row r="106" spans="2:33" ht="32.25" customHeight="1" x14ac:dyDescent="0.25">
      <c r="C106" s="80" t="s">
        <v>0</v>
      </c>
      <c r="D106" s="80" t="s">
        <v>201</v>
      </c>
      <c r="E106" s="80" t="s">
        <v>111</v>
      </c>
      <c r="F106" s="80" t="s">
        <v>203</v>
      </c>
      <c r="G106" s="80" t="s">
        <v>112</v>
      </c>
      <c r="K106" s="20"/>
      <c r="L106" s="20"/>
      <c r="Y106" s="7"/>
    </row>
    <row r="107" spans="2:33" ht="20.25" customHeight="1" x14ac:dyDescent="0.25">
      <c r="C107" s="59" t="s">
        <v>113</v>
      </c>
      <c r="D107" s="60">
        <f>(AA11/30)*16</f>
        <v>137278404.40920275</v>
      </c>
      <c r="E107" s="60">
        <f>+(((AB12*AB97)+(AC12*AC97)+(AD12*AD97)+(AE12*AE97)+(AF12*AF97)+(AG12*AG97)))/((30))*16</f>
        <v>1396124.5013333336</v>
      </c>
      <c r="F107" s="61">
        <f>+E107*0.052</f>
        <v>72598.474069333344</v>
      </c>
      <c r="G107" s="60">
        <f t="shared" ref="G107:G113" si="28">SUM(D107:F107)</f>
        <v>138747127.38460541</v>
      </c>
      <c r="H107" s="43"/>
      <c r="K107" s="21"/>
      <c r="L107" s="20"/>
      <c r="Y107" s="7"/>
    </row>
    <row r="108" spans="2:33" ht="20.25" customHeight="1" x14ac:dyDescent="0.25">
      <c r="C108" s="59" t="s">
        <v>42</v>
      </c>
      <c r="D108" s="60">
        <f>(AA17/30)*16</f>
        <v>141077380.65077943</v>
      </c>
      <c r="E108" s="60">
        <f>+(((AB18*AB97)+(AC18*AC97)+(AD18*AD97)+(AE18*AE97)+(AF18*AF97)+(AG18*AG97)))/((30))*16</f>
        <v>1238024.5920000002</v>
      </c>
      <c r="F108" s="61">
        <f t="shared" ref="F108:F112" si="29">+E108*0.052</f>
        <v>64377.278784000009</v>
      </c>
      <c r="G108" s="60">
        <f t="shared" si="28"/>
        <v>142379782.52156344</v>
      </c>
      <c r="K108" s="21"/>
      <c r="L108" s="20"/>
      <c r="Y108" s="7"/>
    </row>
    <row r="109" spans="2:33" ht="20.25" customHeight="1" x14ac:dyDescent="0.25">
      <c r="C109" s="59" t="s">
        <v>50</v>
      </c>
      <c r="D109" s="60">
        <f>(AA32/30)*16</f>
        <v>208354132.69714341</v>
      </c>
      <c r="E109" s="60">
        <f>+(((AB33*AB97)+(AC33*AC97)+(AD33*AD97)+(AE33*AE97)+(AF33*AF97)+(AG33*AG97)))/((30))*16</f>
        <v>2243811.3226666669</v>
      </c>
      <c r="F109" s="61">
        <f t="shared" si="29"/>
        <v>116678.18877866668</v>
      </c>
      <c r="G109" s="60">
        <f t="shared" si="28"/>
        <v>210714622.20858875</v>
      </c>
      <c r="K109" s="21"/>
      <c r="L109" s="20"/>
      <c r="M109" s="43"/>
      <c r="N109" s="43"/>
      <c r="O109" s="93"/>
      <c r="Y109" s="7"/>
    </row>
    <row r="110" spans="2:33" ht="20.25" customHeight="1" x14ac:dyDescent="0.25">
      <c r="C110" s="59" t="s">
        <v>114</v>
      </c>
      <c r="D110" s="60">
        <f>(AA48/30)*16</f>
        <v>232640326.44915396</v>
      </c>
      <c r="E110" s="60">
        <f>+(((AB49*AB97)+(AC49*AC97)+(AD49*AD97)+(AE49*AE97)+(AF49*AF97)+(AG49*AG97)))/((30))*16</f>
        <v>1976872.4266666665</v>
      </c>
      <c r="F110" s="61">
        <f t="shared" si="29"/>
        <v>102797.36618666665</v>
      </c>
      <c r="G110" s="60">
        <f t="shared" si="28"/>
        <v>234719996.24200732</v>
      </c>
      <c r="K110" s="21"/>
      <c r="L110" s="20"/>
      <c r="Y110" s="7"/>
    </row>
    <row r="111" spans="2:33" ht="20.25" customHeight="1" x14ac:dyDescent="0.25">
      <c r="C111" s="59" t="s">
        <v>75</v>
      </c>
      <c r="D111" s="60">
        <f>(AA56/30)*16</f>
        <v>219764298.25644687</v>
      </c>
      <c r="E111" s="60">
        <f>+(((AB57*AB97)+(AC57*AC97)+(AD57*AD97)+(AE57*AE97)+(AF57*AF97)+(AG57*AG97)))/((30))*16</f>
        <v>1654540.4586666669</v>
      </c>
      <c r="F111" s="61">
        <f t="shared" si="29"/>
        <v>86036.103850666666</v>
      </c>
      <c r="G111" s="60">
        <f t="shared" si="28"/>
        <v>221504874.81896418</v>
      </c>
      <c r="K111" s="21"/>
      <c r="L111" s="94"/>
      <c r="Y111" s="7"/>
    </row>
    <row r="112" spans="2:33" ht="20.25" customHeight="1" x14ac:dyDescent="0.25">
      <c r="C112" s="59" t="s">
        <v>78</v>
      </c>
      <c r="D112" s="60">
        <f>(AA85/30)*16</f>
        <v>548838992.51344705</v>
      </c>
      <c r="E112" s="60">
        <f>+(((AB86*AB97)+(AC86*AC97)+(AD86*AD97)+(AE86*AE97)+(AF86*AF97)+(AG86*AG97)))/((30))*16</f>
        <v>6969322.9013333339</v>
      </c>
      <c r="F112" s="61">
        <f t="shared" si="29"/>
        <v>362404.79086933337</v>
      </c>
      <c r="G112" s="60">
        <f t="shared" si="28"/>
        <v>556170720.20564973</v>
      </c>
      <c r="K112" s="21"/>
      <c r="L112" s="20"/>
      <c r="Y112" s="7"/>
    </row>
    <row r="113" spans="3:26" ht="20.25" customHeight="1" x14ac:dyDescent="0.25">
      <c r="C113" s="64" t="s">
        <v>115</v>
      </c>
      <c r="D113" s="62">
        <f>SUM(D107:D112)</f>
        <v>1487953534.9761734</v>
      </c>
      <c r="E113" s="62">
        <f>SUM(E107:E112)</f>
        <v>15478696.202666668</v>
      </c>
      <c r="F113" s="62">
        <f>SUM(F107:F112)</f>
        <v>804892.20253866678</v>
      </c>
      <c r="G113" s="62">
        <f t="shared" si="28"/>
        <v>1504237123.3813789</v>
      </c>
      <c r="K113" s="20"/>
      <c r="L113" s="20"/>
      <c r="Y113" s="111"/>
      <c r="Z113" s="111"/>
    </row>
    <row r="114" spans="3:26" x14ac:dyDescent="0.25">
      <c r="L114" s="95"/>
    </row>
    <row r="115" spans="3:26" x14ac:dyDescent="0.25">
      <c r="L115" s="95"/>
    </row>
  </sheetData>
  <mergeCells count="6">
    <mergeCell ref="B86:E86"/>
    <mergeCell ref="B12:E12"/>
    <mergeCell ref="B18:E18"/>
    <mergeCell ref="B33:E33"/>
    <mergeCell ref="B49:E49"/>
    <mergeCell ref="B57:E57"/>
  </mergeCells>
  <pageMargins left="0.27559055118110237" right="0.31496062992125984" top="0.74803149606299213" bottom="0.74803149606299213" header="0.31496062992125984" footer="0.31496062992125984"/>
  <pageSetup paperSize="14" scale="50" orientation="landscape" r:id="rId1"/>
  <ignoredErrors>
    <ignoredError sqref="G91:Z91 G99:G100 AA18" formula="1"/>
  </ignoredError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H113"/>
  <sheetViews>
    <sheetView showGridLines="0" zoomScale="80" zoomScaleNormal="80" workbookViewId="0">
      <pane xSplit="5" ySplit="1" topLeftCell="F92" activePane="bottomRight" state="frozen"/>
      <selection pane="topRight" activeCell="F1" sqref="F1"/>
      <selection pane="bottomLeft" activeCell="A2" sqref="A2"/>
      <selection pane="bottomRight" activeCell="F106" sqref="F106"/>
    </sheetView>
  </sheetViews>
  <sheetFormatPr baseColWidth="10" defaultColWidth="9.140625" defaultRowHeight="12.75" x14ac:dyDescent="0.25"/>
  <cols>
    <col min="1" max="1" width="2.5703125" style="7" customWidth="1"/>
    <col min="2" max="2" width="12.85546875" style="12" customWidth="1"/>
    <col min="3" max="3" width="34" style="8" customWidth="1"/>
    <col min="4" max="4" width="29.85546875" style="8" customWidth="1"/>
    <col min="5" max="5" width="21.85546875" style="8" customWidth="1"/>
    <col min="6" max="6" width="22.28515625" style="9" customWidth="1"/>
    <col min="7" max="7" width="19.28515625" style="9" customWidth="1"/>
    <col min="8" max="8" width="17.140625" style="9" customWidth="1"/>
    <col min="9" max="9" width="17.140625" style="9" hidden="1" customWidth="1"/>
    <col min="10" max="10" width="20.42578125" style="9" hidden="1" customWidth="1"/>
    <col min="11" max="11" width="21.42578125" style="9" hidden="1" customWidth="1"/>
    <col min="12" max="12" width="16.7109375" style="9" customWidth="1"/>
    <col min="13" max="13" width="17.42578125" style="9" customWidth="1"/>
    <col min="14" max="14" width="13.7109375" style="9" hidden="1" customWidth="1"/>
    <col min="15" max="15" width="16" style="9" customWidth="1"/>
    <col min="16" max="16" width="19" style="9" customWidth="1"/>
    <col min="17" max="17" width="17.42578125" style="9" customWidth="1"/>
    <col min="18" max="18" width="17.5703125" style="9" hidden="1" customWidth="1"/>
    <col min="19" max="19" width="18" style="9" hidden="1" customWidth="1"/>
    <col min="20" max="20" width="17.28515625" style="9" hidden="1" customWidth="1"/>
    <col min="21" max="21" width="14.7109375" style="9" customWidth="1"/>
    <col min="22" max="22" width="13.28515625" style="9" customWidth="1"/>
    <col min="23" max="23" width="17.140625" style="9" customWidth="1"/>
    <col min="24" max="24" width="18.85546875" style="9" customWidth="1"/>
    <col min="25" max="25" width="18.42578125" style="9" customWidth="1"/>
    <col min="26" max="26" width="16.7109375" style="7" customWidth="1"/>
    <col min="27" max="27" width="22.42578125" style="7" customWidth="1"/>
    <col min="28" max="33" width="15.85546875" style="7" customWidth="1"/>
    <col min="34" max="16384" width="9.140625" style="7"/>
  </cols>
  <sheetData>
    <row r="1" spans="2:33" s="1" customFormat="1" ht="99.75" customHeight="1" x14ac:dyDescent="0.25">
      <c r="B1" s="81" t="s">
        <v>0</v>
      </c>
      <c r="C1" s="81" t="s">
        <v>1</v>
      </c>
      <c r="D1" s="81" t="s">
        <v>2</v>
      </c>
      <c r="E1" s="81" t="s">
        <v>3</v>
      </c>
      <c r="F1" s="82" t="s">
        <v>4</v>
      </c>
      <c r="G1" s="82" t="s">
        <v>5</v>
      </c>
      <c r="H1" s="82" t="s">
        <v>6</v>
      </c>
      <c r="I1" s="82" t="s">
        <v>7</v>
      </c>
      <c r="J1" s="82" t="s">
        <v>8</v>
      </c>
      <c r="K1" s="82" t="s">
        <v>9</v>
      </c>
      <c r="L1" s="82" t="s">
        <v>10</v>
      </c>
      <c r="M1" s="82" t="s">
        <v>11</v>
      </c>
      <c r="N1" s="82" t="s">
        <v>12</v>
      </c>
      <c r="O1" s="82" t="s">
        <v>13</v>
      </c>
      <c r="P1" s="82" t="s">
        <v>14</v>
      </c>
      <c r="Q1" s="82" t="s">
        <v>15</v>
      </c>
      <c r="R1" s="82" t="s">
        <v>16</v>
      </c>
      <c r="S1" s="82" t="s">
        <v>17</v>
      </c>
      <c r="T1" s="81" t="s">
        <v>18</v>
      </c>
      <c r="U1" s="82" t="s">
        <v>19</v>
      </c>
      <c r="V1" s="82" t="s">
        <v>20</v>
      </c>
      <c r="W1" s="83" t="s">
        <v>21</v>
      </c>
      <c r="X1" s="82" t="s">
        <v>22</v>
      </c>
      <c r="Y1" s="82" t="s">
        <v>23</v>
      </c>
      <c r="Z1" s="82" t="s">
        <v>24</v>
      </c>
      <c r="AA1" s="84" t="s">
        <v>25</v>
      </c>
      <c r="AB1" s="82" t="s">
        <v>26</v>
      </c>
      <c r="AC1" s="82" t="s">
        <v>27</v>
      </c>
      <c r="AD1" s="82" t="s">
        <v>28</v>
      </c>
      <c r="AE1" s="82" t="s">
        <v>29</v>
      </c>
      <c r="AF1" s="82" t="s">
        <v>30</v>
      </c>
      <c r="AG1" s="82" t="s">
        <v>31</v>
      </c>
    </row>
    <row r="2" spans="2:33" s="2" customFormat="1" ht="49.5" customHeight="1" x14ac:dyDescent="0.25">
      <c r="B2" s="30" t="s">
        <v>32</v>
      </c>
      <c r="C2" s="27" t="s">
        <v>33</v>
      </c>
      <c r="D2" s="27" t="s">
        <v>151</v>
      </c>
      <c r="E2" s="27" t="s">
        <v>35</v>
      </c>
      <c r="F2" s="28">
        <v>0</v>
      </c>
      <c r="G2" s="31">
        <v>1</v>
      </c>
      <c r="H2" s="28">
        <v>0</v>
      </c>
      <c r="I2" s="28">
        <v>0</v>
      </c>
      <c r="J2" s="28">
        <v>0</v>
      </c>
      <c r="K2" s="28">
        <v>0</v>
      </c>
      <c r="L2" s="28">
        <v>0</v>
      </c>
      <c r="M2" s="28">
        <v>0</v>
      </c>
      <c r="N2" s="28">
        <v>0</v>
      </c>
      <c r="O2" s="28">
        <v>0</v>
      </c>
      <c r="P2" s="28">
        <v>0</v>
      </c>
      <c r="Q2" s="28">
        <v>0</v>
      </c>
      <c r="R2" s="28">
        <v>0</v>
      </c>
      <c r="S2" s="28">
        <v>0</v>
      </c>
      <c r="T2" s="28">
        <v>0</v>
      </c>
      <c r="U2" s="28">
        <v>0</v>
      </c>
      <c r="V2" s="28">
        <v>0</v>
      </c>
      <c r="W2" s="28">
        <v>0</v>
      </c>
      <c r="X2" s="28">
        <v>0</v>
      </c>
      <c r="Y2" s="28">
        <v>0</v>
      </c>
      <c r="Z2" s="28">
        <v>0</v>
      </c>
      <c r="AB2" s="35">
        <v>19</v>
      </c>
      <c r="AC2" s="35">
        <v>2</v>
      </c>
      <c r="AD2" s="35">
        <v>1</v>
      </c>
      <c r="AE2" s="35">
        <v>1</v>
      </c>
      <c r="AF2" s="35">
        <v>1</v>
      </c>
      <c r="AG2" s="35">
        <v>2</v>
      </c>
    </row>
    <row r="3" spans="2:33" s="2" customFormat="1" ht="48" customHeight="1" x14ac:dyDescent="0.25">
      <c r="B3" s="29" t="s">
        <v>32</v>
      </c>
      <c r="C3" s="27" t="s">
        <v>34</v>
      </c>
      <c r="D3" s="27" t="s">
        <v>151</v>
      </c>
      <c r="E3" s="27" t="s">
        <v>35</v>
      </c>
      <c r="F3" s="28">
        <v>0</v>
      </c>
      <c r="G3" s="31">
        <v>3</v>
      </c>
      <c r="H3" s="28">
        <v>0</v>
      </c>
      <c r="I3" s="28">
        <v>0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0</v>
      </c>
      <c r="R3" s="28">
        <v>0</v>
      </c>
      <c r="S3" s="28">
        <v>0</v>
      </c>
      <c r="T3" s="28">
        <v>0</v>
      </c>
      <c r="U3" s="28">
        <v>0</v>
      </c>
      <c r="V3" s="28">
        <v>0</v>
      </c>
      <c r="W3" s="28">
        <v>0</v>
      </c>
      <c r="X3" s="28">
        <v>0</v>
      </c>
      <c r="Y3" s="28">
        <v>0</v>
      </c>
      <c r="Z3" s="28">
        <v>0</v>
      </c>
      <c r="AB3" s="32">
        <v>0</v>
      </c>
      <c r="AC3" s="32">
        <v>0</v>
      </c>
      <c r="AD3" s="32">
        <v>0</v>
      </c>
      <c r="AE3" s="32">
        <v>0</v>
      </c>
      <c r="AF3" s="32">
        <v>0</v>
      </c>
      <c r="AG3" s="32">
        <v>0</v>
      </c>
    </row>
    <row r="4" spans="2:33" s="2" customFormat="1" ht="48" customHeight="1" x14ac:dyDescent="0.25">
      <c r="B4" s="29" t="s">
        <v>32</v>
      </c>
      <c r="C4" s="27" t="s">
        <v>34</v>
      </c>
      <c r="D4" s="27" t="s">
        <v>150</v>
      </c>
      <c r="E4" s="27" t="s">
        <v>35</v>
      </c>
      <c r="F4" s="28">
        <v>0</v>
      </c>
      <c r="G4" s="31">
        <v>2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B4" s="32">
        <v>15</v>
      </c>
      <c r="AC4" s="32">
        <v>0</v>
      </c>
      <c r="AD4" s="35">
        <v>1</v>
      </c>
      <c r="AE4" s="35">
        <v>1</v>
      </c>
      <c r="AF4" s="32">
        <v>0</v>
      </c>
      <c r="AG4" s="35">
        <v>1</v>
      </c>
    </row>
    <row r="5" spans="2:33" s="2" customFormat="1" ht="49.5" customHeight="1" x14ac:dyDescent="0.25">
      <c r="B5" s="29" t="s">
        <v>32</v>
      </c>
      <c r="C5" s="27" t="s">
        <v>34</v>
      </c>
      <c r="D5" s="27" t="s">
        <v>178</v>
      </c>
      <c r="E5" s="27" t="s">
        <v>35</v>
      </c>
      <c r="F5" s="28">
        <v>0</v>
      </c>
      <c r="G5" s="31">
        <v>1</v>
      </c>
      <c r="H5" s="28">
        <v>0</v>
      </c>
      <c r="I5" s="28">
        <v>0</v>
      </c>
      <c r="J5" s="28">
        <v>0</v>
      </c>
      <c r="K5" s="28">
        <v>0</v>
      </c>
      <c r="L5" s="28">
        <v>0</v>
      </c>
      <c r="M5" s="28">
        <v>0</v>
      </c>
      <c r="N5" s="28">
        <v>0</v>
      </c>
      <c r="O5" s="28">
        <v>0</v>
      </c>
      <c r="P5" s="28">
        <v>0</v>
      </c>
      <c r="Q5" s="28">
        <v>0</v>
      </c>
      <c r="R5" s="28">
        <v>0</v>
      </c>
      <c r="S5" s="28">
        <v>0</v>
      </c>
      <c r="T5" s="28">
        <v>0</v>
      </c>
      <c r="U5" s="28">
        <v>0</v>
      </c>
      <c r="V5" s="28">
        <v>0</v>
      </c>
      <c r="W5" s="28">
        <v>0</v>
      </c>
      <c r="X5" s="28">
        <v>0</v>
      </c>
      <c r="Y5" s="28">
        <v>0</v>
      </c>
      <c r="Z5" s="28">
        <v>0</v>
      </c>
      <c r="AB5" s="32">
        <v>7</v>
      </c>
      <c r="AC5" s="32">
        <v>0</v>
      </c>
      <c r="AD5" s="35">
        <v>1</v>
      </c>
      <c r="AE5" s="35">
        <v>1</v>
      </c>
      <c r="AF5" s="32">
        <v>0</v>
      </c>
      <c r="AG5" s="35">
        <v>1</v>
      </c>
    </row>
    <row r="6" spans="2:33" s="2" customFormat="1" ht="49.5" customHeight="1" x14ac:dyDescent="0.25">
      <c r="B6" s="29" t="s">
        <v>32</v>
      </c>
      <c r="C6" s="27" t="s">
        <v>34</v>
      </c>
      <c r="D6" s="27" t="s">
        <v>144</v>
      </c>
      <c r="E6" s="27" t="s">
        <v>36</v>
      </c>
      <c r="F6" s="28">
        <v>0</v>
      </c>
      <c r="G6" s="31">
        <v>2</v>
      </c>
      <c r="H6" s="28">
        <v>0</v>
      </c>
      <c r="I6" s="28">
        <v>0</v>
      </c>
      <c r="J6" s="28">
        <v>0</v>
      </c>
      <c r="K6" s="28">
        <v>0</v>
      </c>
      <c r="L6" s="28">
        <v>0</v>
      </c>
      <c r="M6" s="28">
        <v>0</v>
      </c>
      <c r="N6" s="28">
        <v>0</v>
      </c>
      <c r="O6" s="28">
        <v>0</v>
      </c>
      <c r="P6" s="28">
        <v>0</v>
      </c>
      <c r="Q6" s="28">
        <v>0</v>
      </c>
      <c r="R6" s="28">
        <v>0</v>
      </c>
      <c r="S6" s="28">
        <v>0</v>
      </c>
      <c r="T6" s="28">
        <v>0</v>
      </c>
      <c r="U6" s="28">
        <v>0</v>
      </c>
      <c r="V6" s="28">
        <v>0</v>
      </c>
      <c r="W6" s="28">
        <v>0</v>
      </c>
      <c r="X6" s="31">
        <v>1</v>
      </c>
      <c r="Y6" s="28">
        <v>0</v>
      </c>
      <c r="Z6" s="28">
        <v>0</v>
      </c>
      <c r="AB6" s="32">
        <v>11</v>
      </c>
      <c r="AC6" s="32">
        <v>0</v>
      </c>
      <c r="AD6" s="35">
        <v>1</v>
      </c>
      <c r="AE6" s="35">
        <v>1</v>
      </c>
      <c r="AF6" s="32">
        <v>0</v>
      </c>
      <c r="AG6" s="35">
        <v>1</v>
      </c>
    </row>
    <row r="7" spans="2:33" s="2" customFormat="1" ht="48" customHeight="1" x14ac:dyDescent="0.25">
      <c r="B7" s="29" t="s">
        <v>32</v>
      </c>
      <c r="C7" s="27" t="s">
        <v>34</v>
      </c>
      <c r="D7" s="27" t="s">
        <v>145</v>
      </c>
      <c r="E7" s="27" t="s">
        <v>36</v>
      </c>
      <c r="F7" s="28">
        <v>0</v>
      </c>
      <c r="G7" s="31">
        <v>1</v>
      </c>
      <c r="H7" s="28">
        <v>0</v>
      </c>
      <c r="I7" s="28"/>
      <c r="J7" s="28"/>
      <c r="K7" s="28"/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B7" s="32">
        <v>0</v>
      </c>
      <c r="AC7" s="32">
        <v>0</v>
      </c>
      <c r="AD7" s="32">
        <v>0</v>
      </c>
      <c r="AE7" s="32">
        <v>0</v>
      </c>
      <c r="AF7" s="32">
        <v>0</v>
      </c>
      <c r="AG7" s="32">
        <v>0</v>
      </c>
    </row>
    <row r="8" spans="2:33" s="2" customFormat="1" ht="48" customHeight="1" x14ac:dyDescent="0.25">
      <c r="B8" s="29" t="s">
        <v>32</v>
      </c>
      <c r="C8" s="27" t="s">
        <v>34</v>
      </c>
      <c r="D8" s="27" t="s">
        <v>179</v>
      </c>
      <c r="E8" s="27" t="s">
        <v>37</v>
      </c>
      <c r="F8" s="28">
        <v>0</v>
      </c>
      <c r="G8" s="31">
        <v>2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0</v>
      </c>
      <c r="W8" s="28">
        <v>0</v>
      </c>
      <c r="X8" s="28">
        <v>0</v>
      </c>
      <c r="Y8" s="28">
        <v>0</v>
      </c>
      <c r="Z8" s="28">
        <v>0</v>
      </c>
      <c r="AB8" s="35">
        <v>16</v>
      </c>
      <c r="AC8" s="32">
        <v>0</v>
      </c>
      <c r="AD8" s="35">
        <v>1</v>
      </c>
      <c r="AE8" s="35">
        <v>1</v>
      </c>
      <c r="AF8" s="32">
        <v>0</v>
      </c>
      <c r="AG8" s="35">
        <v>3</v>
      </c>
    </row>
    <row r="9" spans="2:33" s="2" customFormat="1" ht="48" customHeight="1" x14ac:dyDescent="0.25">
      <c r="B9" s="29" t="s">
        <v>32</v>
      </c>
      <c r="C9" s="27" t="s">
        <v>34</v>
      </c>
      <c r="D9" s="27" t="s">
        <v>38</v>
      </c>
      <c r="E9" s="27" t="s">
        <v>37</v>
      </c>
      <c r="F9" s="28">
        <v>0</v>
      </c>
      <c r="G9" s="31">
        <v>2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58">
        <f>+AA11*1</f>
        <v>257397008.26725519</v>
      </c>
      <c r="AB9" s="32">
        <v>0</v>
      </c>
      <c r="AC9" s="32">
        <v>0</v>
      </c>
      <c r="AD9" s="32">
        <v>0</v>
      </c>
      <c r="AE9" s="32">
        <v>0</v>
      </c>
      <c r="AF9" s="32">
        <v>0</v>
      </c>
      <c r="AG9" s="32">
        <v>0</v>
      </c>
    </row>
    <row r="10" spans="2:33" s="2" customFormat="1" ht="48" customHeight="1" x14ac:dyDescent="0.25">
      <c r="B10" s="29" t="s">
        <v>32</v>
      </c>
      <c r="C10" s="27" t="s">
        <v>34</v>
      </c>
      <c r="D10" s="27" t="s">
        <v>39</v>
      </c>
      <c r="E10" s="27" t="s">
        <v>40</v>
      </c>
      <c r="F10" s="28">
        <v>0</v>
      </c>
      <c r="G10" s="31">
        <v>1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B10" s="32">
        <v>0</v>
      </c>
      <c r="AC10" s="32">
        <v>0</v>
      </c>
      <c r="AD10" s="32">
        <v>0</v>
      </c>
      <c r="AE10" s="32">
        <v>0</v>
      </c>
      <c r="AF10" s="32">
        <v>0</v>
      </c>
      <c r="AG10" s="32">
        <v>0</v>
      </c>
    </row>
    <row r="11" spans="2:33" s="2" customFormat="1" ht="48" customHeight="1" x14ac:dyDescent="0.25">
      <c r="B11" s="29" t="s">
        <v>32</v>
      </c>
      <c r="C11" s="27" t="s">
        <v>34</v>
      </c>
      <c r="D11" s="27" t="s">
        <v>180</v>
      </c>
      <c r="E11" s="27" t="s">
        <v>40</v>
      </c>
      <c r="F11" s="28">
        <v>0</v>
      </c>
      <c r="G11" s="31">
        <v>2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58">
        <f>+(G12*G97)+(X12*X97)</f>
        <v>257397008.26725519</v>
      </c>
      <c r="AB11" s="35">
        <v>15</v>
      </c>
      <c r="AC11" s="32">
        <v>0</v>
      </c>
      <c r="AD11" s="35">
        <v>1</v>
      </c>
      <c r="AE11" s="35">
        <v>1</v>
      </c>
      <c r="AF11" s="32">
        <v>0</v>
      </c>
      <c r="AG11" s="35">
        <v>3</v>
      </c>
    </row>
    <row r="12" spans="2:33" s="53" customFormat="1" ht="19.5" customHeight="1" x14ac:dyDescent="0.25">
      <c r="B12" s="165" t="s">
        <v>41</v>
      </c>
      <c r="C12" s="165"/>
      <c r="D12" s="165"/>
      <c r="E12" s="165"/>
      <c r="F12" s="85">
        <f t="shared" ref="F12:Z12" si="0">SUM(F2:F11)</f>
        <v>0</v>
      </c>
      <c r="G12" s="85">
        <f t="shared" si="0"/>
        <v>17</v>
      </c>
      <c r="H12" s="85">
        <f t="shared" si="0"/>
        <v>0</v>
      </c>
      <c r="I12" s="85">
        <f t="shared" si="0"/>
        <v>0</v>
      </c>
      <c r="J12" s="85">
        <f t="shared" si="0"/>
        <v>0</v>
      </c>
      <c r="K12" s="85">
        <f t="shared" si="0"/>
        <v>0</v>
      </c>
      <c r="L12" s="85">
        <f t="shared" si="0"/>
        <v>0</v>
      </c>
      <c r="M12" s="85">
        <f t="shared" si="0"/>
        <v>0</v>
      </c>
      <c r="N12" s="85">
        <f t="shared" si="0"/>
        <v>0</v>
      </c>
      <c r="O12" s="85">
        <f t="shared" si="0"/>
        <v>0</v>
      </c>
      <c r="P12" s="85">
        <f t="shared" si="0"/>
        <v>0</v>
      </c>
      <c r="Q12" s="85">
        <f t="shared" si="0"/>
        <v>0</v>
      </c>
      <c r="R12" s="85">
        <f t="shared" si="0"/>
        <v>0</v>
      </c>
      <c r="S12" s="85">
        <f t="shared" si="0"/>
        <v>0</v>
      </c>
      <c r="T12" s="85">
        <f t="shared" si="0"/>
        <v>0</v>
      </c>
      <c r="U12" s="85">
        <f t="shared" si="0"/>
        <v>0</v>
      </c>
      <c r="V12" s="85">
        <f t="shared" si="0"/>
        <v>0</v>
      </c>
      <c r="W12" s="85">
        <f t="shared" si="0"/>
        <v>0</v>
      </c>
      <c r="X12" s="85">
        <f t="shared" si="0"/>
        <v>1</v>
      </c>
      <c r="Y12" s="85">
        <f t="shared" si="0"/>
        <v>0</v>
      </c>
      <c r="Z12" s="85">
        <f t="shared" si="0"/>
        <v>0</v>
      </c>
      <c r="AA12" s="86">
        <f>SUM(F12:Z12)</f>
        <v>18</v>
      </c>
      <c r="AB12" s="87">
        <f t="shared" ref="AB12:AG12" si="1">SUM(AB2:AB11)</f>
        <v>83</v>
      </c>
      <c r="AC12" s="87">
        <f t="shared" si="1"/>
        <v>2</v>
      </c>
      <c r="AD12" s="87">
        <f t="shared" si="1"/>
        <v>6</v>
      </c>
      <c r="AE12" s="87">
        <f t="shared" si="1"/>
        <v>6</v>
      </c>
      <c r="AF12" s="87">
        <f t="shared" si="1"/>
        <v>1</v>
      </c>
      <c r="AG12" s="87">
        <f t="shared" si="1"/>
        <v>11</v>
      </c>
    </row>
    <row r="13" spans="2:33" s="2" customFormat="1" ht="49.5" customHeight="1" x14ac:dyDescent="0.25">
      <c r="B13" s="30" t="s">
        <v>42</v>
      </c>
      <c r="C13" s="27" t="s">
        <v>43</v>
      </c>
      <c r="D13" s="27" t="s">
        <v>181</v>
      </c>
      <c r="E13" s="27" t="s">
        <v>45</v>
      </c>
      <c r="F13" s="28">
        <v>0</v>
      </c>
      <c r="G13" s="31">
        <v>1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32">
        <v>0</v>
      </c>
    </row>
    <row r="14" spans="2:33" s="2" customFormat="1" ht="48" customHeight="1" x14ac:dyDescent="0.25">
      <c r="B14" s="29" t="s">
        <v>42</v>
      </c>
      <c r="C14" s="27" t="s">
        <v>44</v>
      </c>
      <c r="D14" s="27" t="s">
        <v>181</v>
      </c>
      <c r="E14" s="27" t="s">
        <v>45</v>
      </c>
      <c r="F14" s="31">
        <v>1</v>
      </c>
      <c r="G14" s="31">
        <v>3</v>
      </c>
      <c r="H14" s="31">
        <v>1</v>
      </c>
      <c r="I14" s="28">
        <v>0</v>
      </c>
      <c r="J14" s="28">
        <v>0</v>
      </c>
      <c r="K14" s="28">
        <v>0</v>
      </c>
      <c r="L14" s="28">
        <v>0</v>
      </c>
      <c r="M14" s="31">
        <v>1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31">
        <v>1</v>
      </c>
      <c r="Z14" s="28">
        <v>0</v>
      </c>
      <c r="AB14" s="35">
        <v>58</v>
      </c>
      <c r="AC14" s="35">
        <v>2</v>
      </c>
      <c r="AD14" s="35">
        <v>2</v>
      </c>
      <c r="AE14" s="35">
        <v>2</v>
      </c>
      <c r="AF14" s="35">
        <v>1</v>
      </c>
      <c r="AG14" s="35">
        <v>5</v>
      </c>
    </row>
    <row r="15" spans="2:33" s="2" customFormat="1" ht="47.25" customHeight="1" x14ac:dyDescent="0.25">
      <c r="B15" s="29" t="s">
        <v>42</v>
      </c>
      <c r="C15" s="27" t="s">
        <v>46</v>
      </c>
      <c r="D15" s="27" t="s">
        <v>181</v>
      </c>
      <c r="E15" s="27" t="s">
        <v>45</v>
      </c>
      <c r="F15" s="31"/>
      <c r="G15" s="31">
        <v>0</v>
      </c>
      <c r="H15" s="31">
        <v>1</v>
      </c>
      <c r="I15" s="28"/>
      <c r="J15" s="28"/>
      <c r="K15" s="28"/>
      <c r="L15" s="28"/>
      <c r="M15" s="28"/>
      <c r="N15" s="28"/>
      <c r="O15" s="28"/>
      <c r="P15" s="28">
        <v>0</v>
      </c>
      <c r="Q15" s="28"/>
      <c r="R15" s="28"/>
      <c r="S15" s="28"/>
      <c r="T15" s="28"/>
      <c r="U15" s="28"/>
      <c r="V15" s="28"/>
      <c r="W15" s="28"/>
      <c r="X15" s="28"/>
      <c r="Y15" s="28"/>
      <c r="Z15" s="28"/>
      <c r="AB15" s="35">
        <v>5</v>
      </c>
      <c r="AC15" s="32">
        <v>40</v>
      </c>
      <c r="AD15" s="32">
        <v>2</v>
      </c>
      <c r="AE15" s="32">
        <v>2</v>
      </c>
      <c r="AF15" s="32">
        <v>1</v>
      </c>
      <c r="AG15" s="32"/>
    </row>
    <row r="16" spans="2:33" s="2" customFormat="1" ht="48" customHeight="1" x14ac:dyDescent="0.25">
      <c r="B16" s="29" t="s">
        <v>42</v>
      </c>
      <c r="C16" s="27" t="s">
        <v>44</v>
      </c>
      <c r="D16" s="27" t="s">
        <v>152</v>
      </c>
      <c r="E16" s="27" t="s">
        <v>47</v>
      </c>
      <c r="F16" s="31">
        <v>3</v>
      </c>
      <c r="G16" s="31">
        <v>3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58">
        <f>+AA17*1</f>
        <v>279451344.29681146</v>
      </c>
      <c r="AB16" s="35">
        <v>10</v>
      </c>
      <c r="AC16" s="32">
        <v>0</v>
      </c>
      <c r="AD16" s="35">
        <v>1</v>
      </c>
      <c r="AE16" s="35">
        <v>1</v>
      </c>
      <c r="AF16" s="32">
        <v>0</v>
      </c>
      <c r="AG16" s="35">
        <v>3</v>
      </c>
    </row>
    <row r="17" spans="2:34" s="2" customFormat="1" ht="48" customHeight="1" x14ac:dyDescent="0.25">
      <c r="B17" s="29" t="s">
        <v>42</v>
      </c>
      <c r="C17" s="27" t="s">
        <v>44</v>
      </c>
      <c r="D17" s="27" t="s">
        <v>146</v>
      </c>
      <c r="E17" s="27" t="s">
        <v>48</v>
      </c>
      <c r="F17" s="31">
        <v>2</v>
      </c>
      <c r="G17" s="31">
        <v>3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58">
        <f>+(F18*F97)+(G18*G97)+(H18*H97)+(M18*M97)+(P18*P97)+(Y18*Y97)</f>
        <v>279451344.29681146</v>
      </c>
      <c r="AB17" s="35">
        <v>10</v>
      </c>
      <c r="AC17" s="32">
        <v>0</v>
      </c>
      <c r="AD17" s="35">
        <v>1</v>
      </c>
      <c r="AE17" s="35">
        <v>1</v>
      </c>
      <c r="AF17" s="32">
        <v>0</v>
      </c>
      <c r="AG17" s="35">
        <v>3</v>
      </c>
    </row>
    <row r="18" spans="2:34" s="53" customFormat="1" ht="19.5" customHeight="1" x14ac:dyDescent="0.25">
      <c r="B18" s="165" t="s">
        <v>49</v>
      </c>
      <c r="C18" s="165"/>
      <c r="D18" s="165"/>
      <c r="E18" s="165"/>
      <c r="F18" s="85">
        <f t="shared" ref="F18:Z18" si="2">SUM(F13:F17)</f>
        <v>6</v>
      </c>
      <c r="G18" s="85">
        <f t="shared" si="2"/>
        <v>10</v>
      </c>
      <c r="H18" s="85">
        <f t="shared" si="2"/>
        <v>2</v>
      </c>
      <c r="I18" s="85">
        <f t="shared" si="2"/>
        <v>0</v>
      </c>
      <c r="J18" s="85">
        <f t="shared" si="2"/>
        <v>0</v>
      </c>
      <c r="K18" s="85">
        <f t="shared" si="2"/>
        <v>0</v>
      </c>
      <c r="L18" s="85">
        <f t="shared" si="2"/>
        <v>0</v>
      </c>
      <c r="M18" s="85">
        <f t="shared" si="2"/>
        <v>1</v>
      </c>
      <c r="N18" s="85">
        <f t="shared" si="2"/>
        <v>0</v>
      </c>
      <c r="O18" s="85">
        <f t="shared" si="2"/>
        <v>0</v>
      </c>
      <c r="P18" s="85">
        <f t="shared" si="2"/>
        <v>0</v>
      </c>
      <c r="Q18" s="85">
        <f t="shared" si="2"/>
        <v>0</v>
      </c>
      <c r="R18" s="85">
        <f t="shared" si="2"/>
        <v>0</v>
      </c>
      <c r="S18" s="85">
        <f t="shared" si="2"/>
        <v>0</v>
      </c>
      <c r="T18" s="85">
        <f t="shared" si="2"/>
        <v>0</v>
      </c>
      <c r="U18" s="85">
        <f t="shared" si="2"/>
        <v>0</v>
      </c>
      <c r="V18" s="85">
        <f t="shared" si="2"/>
        <v>0</v>
      </c>
      <c r="W18" s="85">
        <f t="shared" si="2"/>
        <v>0</v>
      </c>
      <c r="X18" s="85">
        <f t="shared" si="2"/>
        <v>0</v>
      </c>
      <c r="Y18" s="85">
        <f t="shared" si="2"/>
        <v>1</v>
      </c>
      <c r="Z18" s="85">
        <f t="shared" si="2"/>
        <v>0</v>
      </c>
      <c r="AA18" s="86">
        <f>SUM(F18:Z18)</f>
        <v>20</v>
      </c>
      <c r="AB18" s="87">
        <f>SUM(AB13:AB17)</f>
        <v>83</v>
      </c>
      <c r="AC18" s="87">
        <f t="shared" ref="AC18:AG18" si="3">SUM(AC13:AC17)</f>
        <v>42</v>
      </c>
      <c r="AD18" s="87">
        <f t="shared" si="3"/>
        <v>6</v>
      </c>
      <c r="AE18" s="87">
        <f t="shared" si="3"/>
        <v>6</v>
      </c>
      <c r="AF18" s="87">
        <f t="shared" si="3"/>
        <v>2</v>
      </c>
      <c r="AG18" s="87">
        <f t="shared" si="3"/>
        <v>11</v>
      </c>
    </row>
    <row r="19" spans="2:34" s="2" customFormat="1" ht="43.5" customHeight="1" x14ac:dyDescent="0.25">
      <c r="B19" s="30" t="s">
        <v>50</v>
      </c>
      <c r="C19" s="27" t="s">
        <v>33</v>
      </c>
      <c r="D19" s="27" t="s">
        <v>182</v>
      </c>
      <c r="E19" s="27" t="s">
        <v>52</v>
      </c>
      <c r="F19" s="28">
        <v>0</v>
      </c>
      <c r="G19" s="31">
        <v>1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B19" s="32">
        <v>0</v>
      </c>
      <c r="AC19" s="32">
        <v>0</v>
      </c>
      <c r="AD19" s="32">
        <v>0</v>
      </c>
      <c r="AE19" s="32">
        <v>0</v>
      </c>
      <c r="AF19" s="32">
        <v>0</v>
      </c>
      <c r="AG19" s="32">
        <v>0</v>
      </c>
    </row>
    <row r="20" spans="2:34" s="2" customFormat="1" ht="48" customHeight="1" x14ac:dyDescent="0.25">
      <c r="B20" s="29" t="s">
        <v>50</v>
      </c>
      <c r="C20" s="27" t="s">
        <v>195</v>
      </c>
      <c r="D20" s="27" t="s">
        <v>182</v>
      </c>
      <c r="E20" s="27" t="s">
        <v>52</v>
      </c>
      <c r="F20" s="28">
        <v>0</v>
      </c>
      <c r="G20" s="31">
        <v>4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31">
        <v>1</v>
      </c>
      <c r="R20" s="28">
        <v>0</v>
      </c>
      <c r="S20" s="28">
        <v>0</v>
      </c>
      <c r="T20" s="28">
        <v>0</v>
      </c>
      <c r="U20" s="28">
        <v>0</v>
      </c>
      <c r="V20" s="31">
        <v>1</v>
      </c>
      <c r="W20" s="28">
        <v>0</v>
      </c>
      <c r="X20" s="28">
        <v>0</v>
      </c>
      <c r="Y20" s="28">
        <v>0</v>
      </c>
      <c r="Z20" s="28">
        <v>0</v>
      </c>
      <c r="AB20" s="35">
        <v>18</v>
      </c>
      <c r="AC20" s="32">
        <v>0</v>
      </c>
      <c r="AD20" s="35">
        <v>2</v>
      </c>
      <c r="AE20" s="35">
        <v>2</v>
      </c>
      <c r="AF20" s="35">
        <v>1</v>
      </c>
      <c r="AG20" s="32">
        <v>0</v>
      </c>
    </row>
    <row r="21" spans="2:34" s="2" customFormat="1" ht="48" customHeight="1" x14ac:dyDescent="0.25">
      <c r="B21" s="29" t="s">
        <v>50</v>
      </c>
      <c r="C21" s="27" t="s">
        <v>195</v>
      </c>
      <c r="D21" s="27" t="s">
        <v>183</v>
      </c>
      <c r="E21" s="27" t="s">
        <v>121</v>
      </c>
      <c r="F21" s="28">
        <v>0</v>
      </c>
      <c r="G21" s="31">
        <v>1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B21" s="35">
        <v>8</v>
      </c>
      <c r="AC21" s="32">
        <v>0</v>
      </c>
      <c r="AD21" s="35">
        <v>1</v>
      </c>
      <c r="AE21" s="35">
        <v>1</v>
      </c>
      <c r="AF21" s="35">
        <v>1</v>
      </c>
      <c r="AG21" s="35">
        <v>1</v>
      </c>
    </row>
    <row r="22" spans="2:34" s="2" customFormat="1" ht="48" customHeight="1" x14ac:dyDescent="0.25">
      <c r="B22" s="29" t="s">
        <v>50</v>
      </c>
      <c r="C22" s="27" t="s">
        <v>195</v>
      </c>
      <c r="D22" s="27" t="s">
        <v>153</v>
      </c>
      <c r="E22" s="27" t="s">
        <v>123</v>
      </c>
      <c r="F22" s="28">
        <v>0</v>
      </c>
      <c r="G22" s="31">
        <v>1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B22" s="35">
        <v>8</v>
      </c>
      <c r="AC22" s="32">
        <v>0</v>
      </c>
      <c r="AD22" s="35">
        <v>1</v>
      </c>
      <c r="AE22" s="35">
        <v>1</v>
      </c>
      <c r="AF22" s="35">
        <v>1</v>
      </c>
      <c r="AG22" s="35">
        <v>1</v>
      </c>
    </row>
    <row r="23" spans="2:34" s="2" customFormat="1" ht="43.5" customHeight="1" x14ac:dyDescent="0.25">
      <c r="B23" s="30" t="s">
        <v>50</v>
      </c>
      <c r="C23" s="27" t="s">
        <v>51</v>
      </c>
      <c r="D23" s="27" t="s">
        <v>53</v>
      </c>
      <c r="E23" s="27" t="s">
        <v>52</v>
      </c>
      <c r="F23" s="28">
        <v>0</v>
      </c>
      <c r="G23" s="31">
        <v>3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/>
      <c r="N23" s="28">
        <v>0</v>
      </c>
      <c r="O23" s="28">
        <v>0</v>
      </c>
      <c r="P23" s="28">
        <v>0</v>
      </c>
      <c r="Q23" s="31">
        <v>1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B23" s="35">
        <v>22</v>
      </c>
      <c r="AC23" s="32">
        <v>0</v>
      </c>
      <c r="AD23" s="35">
        <v>2</v>
      </c>
      <c r="AE23" s="35">
        <v>2</v>
      </c>
      <c r="AF23" s="35">
        <v>1</v>
      </c>
      <c r="AG23" s="32">
        <v>0</v>
      </c>
    </row>
    <row r="24" spans="2:34" s="2" customFormat="1" ht="48" customHeight="1" x14ac:dyDescent="0.25">
      <c r="B24" s="29" t="s">
        <v>50</v>
      </c>
      <c r="C24" s="27" t="s">
        <v>54</v>
      </c>
      <c r="D24" s="27" t="s">
        <v>154</v>
      </c>
      <c r="E24" s="27" t="s">
        <v>121</v>
      </c>
      <c r="F24" s="28">
        <v>0</v>
      </c>
      <c r="G24" s="31">
        <v>3</v>
      </c>
      <c r="H24" s="28">
        <v>0</v>
      </c>
      <c r="I24" s="28">
        <v>0</v>
      </c>
      <c r="J24" s="28">
        <v>0</v>
      </c>
      <c r="K24" s="28">
        <v>0</v>
      </c>
      <c r="L24" s="31">
        <v>1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B24" s="35">
        <v>12</v>
      </c>
      <c r="AC24" s="32">
        <v>0</v>
      </c>
      <c r="AD24" s="35">
        <v>1</v>
      </c>
      <c r="AE24" s="35">
        <v>1</v>
      </c>
      <c r="AF24" s="32">
        <v>0</v>
      </c>
      <c r="AG24" s="32">
        <v>0</v>
      </c>
    </row>
    <row r="25" spans="2:34" s="2" customFormat="1" ht="48" customHeight="1" x14ac:dyDescent="0.25">
      <c r="B25" s="29" t="s">
        <v>50</v>
      </c>
      <c r="C25" s="27" t="s">
        <v>54</v>
      </c>
      <c r="D25" s="27" t="s">
        <v>147</v>
      </c>
      <c r="E25" s="27" t="s">
        <v>121</v>
      </c>
      <c r="F25" s="28">
        <v>0</v>
      </c>
      <c r="G25" s="31">
        <v>2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31">
        <v>1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B25" s="32">
        <v>0</v>
      </c>
      <c r="AC25" s="32">
        <v>0</v>
      </c>
      <c r="AD25" s="32">
        <v>0</v>
      </c>
      <c r="AE25" s="32">
        <v>0</v>
      </c>
      <c r="AF25" s="32">
        <v>0</v>
      </c>
      <c r="AG25" s="32">
        <v>0</v>
      </c>
    </row>
    <row r="26" spans="2:34" s="2" customFormat="1" ht="48" customHeight="1" x14ac:dyDescent="0.25">
      <c r="B26" s="29" t="s">
        <v>50</v>
      </c>
      <c r="C26" s="27" t="s">
        <v>54</v>
      </c>
      <c r="D26" s="27" t="s">
        <v>148</v>
      </c>
      <c r="E26" s="27" t="s">
        <v>124</v>
      </c>
      <c r="F26" s="28">
        <v>0</v>
      </c>
      <c r="G26" s="31">
        <v>1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B26" s="35">
        <v>6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</row>
    <row r="27" spans="2:34" s="2" customFormat="1" ht="49.5" customHeight="1" x14ac:dyDescent="0.25">
      <c r="B27" s="30" t="s">
        <v>50</v>
      </c>
      <c r="C27" s="27" t="s">
        <v>55</v>
      </c>
      <c r="D27" s="27" t="s">
        <v>184</v>
      </c>
      <c r="E27" s="27" t="s">
        <v>56</v>
      </c>
      <c r="F27" s="28">
        <v>0</v>
      </c>
      <c r="G27" s="31">
        <v>2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B27" s="35">
        <v>14</v>
      </c>
      <c r="AC27" s="32">
        <v>0</v>
      </c>
      <c r="AD27" s="35">
        <v>1</v>
      </c>
      <c r="AE27" s="35">
        <v>1</v>
      </c>
      <c r="AF27" s="32">
        <v>0</v>
      </c>
      <c r="AG27" s="35">
        <v>1</v>
      </c>
    </row>
    <row r="28" spans="2:34" s="2" customFormat="1" ht="49.5" customHeight="1" x14ac:dyDescent="0.25">
      <c r="B28" s="30" t="s">
        <v>50</v>
      </c>
      <c r="C28" s="27" t="s">
        <v>55</v>
      </c>
      <c r="D28" s="27" t="s">
        <v>185</v>
      </c>
      <c r="E28" s="27" t="s">
        <v>56</v>
      </c>
      <c r="F28" s="28">
        <v>0</v>
      </c>
      <c r="G28" s="31">
        <v>2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B28" s="35">
        <v>6</v>
      </c>
      <c r="AC28" s="35">
        <v>2</v>
      </c>
      <c r="AD28" s="35">
        <v>1</v>
      </c>
      <c r="AE28" s="35">
        <v>1</v>
      </c>
      <c r="AF28" s="32">
        <v>0</v>
      </c>
      <c r="AG28" s="35">
        <v>1</v>
      </c>
    </row>
    <row r="29" spans="2:34" s="2" customFormat="1" ht="49.5" customHeight="1" x14ac:dyDescent="0.25">
      <c r="B29" s="30" t="s">
        <v>50</v>
      </c>
      <c r="C29" s="27" t="s">
        <v>55</v>
      </c>
      <c r="D29" s="27" t="s">
        <v>186</v>
      </c>
      <c r="E29" s="27" t="s">
        <v>56</v>
      </c>
      <c r="F29" s="28">
        <v>0</v>
      </c>
      <c r="G29" s="31">
        <v>1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B29" s="35">
        <v>6</v>
      </c>
      <c r="AC29" s="35">
        <v>2</v>
      </c>
      <c r="AD29" s="35">
        <v>1</v>
      </c>
      <c r="AE29" s="35">
        <v>1</v>
      </c>
      <c r="AF29" s="32">
        <v>0</v>
      </c>
      <c r="AG29" s="35">
        <v>1</v>
      </c>
    </row>
    <row r="30" spans="2:34" s="2" customFormat="1" ht="49.5" customHeight="1" x14ac:dyDescent="0.25">
      <c r="B30" s="30" t="s">
        <v>50</v>
      </c>
      <c r="C30" s="27" t="s">
        <v>55</v>
      </c>
      <c r="D30" s="27" t="s">
        <v>171</v>
      </c>
      <c r="E30" s="27" t="s">
        <v>56</v>
      </c>
      <c r="F30" s="28">
        <v>0</v>
      </c>
      <c r="G30" s="31">
        <v>1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58">
        <f>+AA32*1</f>
        <v>390663998.80714387</v>
      </c>
      <c r="AB30" s="35">
        <v>4</v>
      </c>
      <c r="AC30" s="35">
        <v>2</v>
      </c>
      <c r="AD30" s="32">
        <v>0</v>
      </c>
      <c r="AE30" s="32">
        <v>0</v>
      </c>
      <c r="AF30" s="32">
        <v>0</v>
      </c>
      <c r="AG30" s="32">
        <v>0</v>
      </c>
      <c r="AH30" s="32"/>
    </row>
    <row r="31" spans="2:34" s="2" customFormat="1" ht="49.5" customHeight="1" x14ac:dyDescent="0.25">
      <c r="B31" s="30" t="s">
        <v>50</v>
      </c>
      <c r="C31" s="27" t="s">
        <v>57</v>
      </c>
      <c r="D31" s="27" t="s">
        <v>187</v>
      </c>
      <c r="E31" s="27" t="s">
        <v>125</v>
      </c>
      <c r="F31" s="28">
        <v>0</v>
      </c>
      <c r="G31" s="31">
        <v>1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58"/>
      <c r="AB31" s="35">
        <v>6</v>
      </c>
      <c r="AC31" s="32">
        <v>0</v>
      </c>
      <c r="AD31" s="35">
        <v>1</v>
      </c>
      <c r="AE31" s="35">
        <v>1</v>
      </c>
      <c r="AF31" s="32">
        <v>0</v>
      </c>
      <c r="AG31" s="35">
        <v>1</v>
      </c>
    </row>
    <row r="32" spans="2:34" s="2" customFormat="1" ht="49.5" customHeight="1" x14ac:dyDescent="0.25">
      <c r="B32" s="30" t="s">
        <v>50</v>
      </c>
      <c r="C32" s="27" t="s">
        <v>57</v>
      </c>
      <c r="D32" s="27" t="s">
        <v>149</v>
      </c>
      <c r="E32" s="27" t="s">
        <v>126</v>
      </c>
      <c r="F32" s="28">
        <v>0</v>
      </c>
      <c r="G32" s="31">
        <v>1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58">
        <f>+(G33*G97)+(L33*L97)+(O33*O97)+(Q33*Q97)+(V33*V97)</f>
        <v>390663998.80714387</v>
      </c>
      <c r="AB32" s="35">
        <v>6</v>
      </c>
      <c r="AC32" s="32">
        <v>0</v>
      </c>
      <c r="AD32" s="35">
        <v>1</v>
      </c>
      <c r="AE32" s="35">
        <v>1</v>
      </c>
      <c r="AF32" s="32">
        <v>0</v>
      </c>
      <c r="AG32" s="35">
        <v>1</v>
      </c>
    </row>
    <row r="33" spans="2:33" s="53" customFormat="1" ht="19.5" customHeight="1" x14ac:dyDescent="0.25">
      <c r="B33" s="165" t="s">
        <v>58</v>
      </c>
      <c r="C33" s="165"/>
      <c r="D33" s="165"/>
      <c r="E33" s="165"/>
      <c r="F33" s="85">
        <f t="shared" ref="F33:Z33" si="4">SUM(F19:F32)</f>
        <v>0</v>
      </c>
      <c r="G33" s="85">
        <f t="shared" si="4"/>
        <v>24</v>
      </c>
      <c r="H33" s="85">
        <f t="shared" si="4"/>
        <v>0</v>
      </c>
      <c r="I33" s="85">
        <f t="shared" si="4"/>
        <v>0</v>
      </c>
      <c r="J33" s="85">
        <f t="shared" si="4"/>
        <v>0</v>
      </c>
      <c r="K33" s="85">
        <f t="shared" si="4"/>
        <v>0</v>
      </c>
      <c r="L33" s="85">
        <f t="shared" si="4"/>
        <v>1</v>
      </c>
      <c r="M33" s="85">
        <f t="shared" si="4"/>
        <v>0</v>
      </c>
      <c r="N33" s="85">
        <f t="shared" si="4"/>
        <v>0</v>
      </c>
      <c r="O33" s="85">
        <f t="shared" si="4"/>
        <v>1</v>
      </c>
      <c r="P33" s="85">
        <f t="shared" si="4"/>
        <v>0</v>
      </c>
      <c r="Q33" s="85">
        <f t="shared" si="4"/>
        <v>2</v>
      </c>
      <c r="R33" s="85">
        <f t="shared" si="4"/>
        <v>0</v>
      </c>
      <c r="S33" s="85">
        <f t="shared" si="4"/>
        <v>0</v>
      </c>
      <c r="T33" s="85">
        <f t="shared" si="4"/>
        <v>0</v>
      </c>
      <c r="U33" s="85">
        <f t="shared" si="4"/>
        <v>0</v>
      </c>
      <c r="V33" s="85">
        <f t="shared" si="4"/>
        <v>1</v>
      </c>
      <c r="W33" s="85">
        <f t="shared" si="4"/>
        <v>0</v>
      </c>
      <c r="X33" s="85">
        <f t="shared" si="4"/>
        <v>0</v>
      </c>
      <c r="Y33" s="85">
        <f t="shared" si="4"/>
        <v>0</v>
      </c>
      <c r="Z33" s="85">
        <f t="shared" si="4"/>
        <v>0</v>
      </c>
      <c r="AA33" s="86">
        <f>SUM(F33:Z33)</f>
        <v>29</v>
      </c>
      <c r="AB33" s="87">
        <f t="shared" ref="AB33:AG33" si="5">SUM(AB19:AB32)</f>
        <v>116</v>
      </c>
      <c r="AC33" s="87">
        <f t="shared" si="5"/>
        <v>6</v>
      </c>
      <c r="AD33" s="87">
        <f t="shared" si="5"/>
        <v>12</v>
      </c>
      <c r="AE33" s="87">
        <f t="shared" si="5"/>
        <v>12</v>
      </c>
      <c r="AF33" s="87">
        <f t="shared" si="5"/>
        <v>4</v>
      </c>
      <c r="AG33" s="87">
        <f t="shared" si="5"/>
        <v>7</v>
      </c>
    </row>
    <row r="34" spans="2:33" s="2" customFormat="1" ht="48" customHeight="1" x14ac:dyDescent="0.25">
      <c r="B34" s="29" t="s">
        <v>59</v>
      </c>
      <c r="C34" s="27" t="s">
        <v>43</v>
      </c>
      <c r="D34" s="27" t="s">
        <v>60</v>
      </c>
      <c r="E34" s="27" t="s">
        <v>61</v>
      </c>
      <c r="F34" s="28">
        <v>0</v>
      </c>
      <c r="G34" s="31">
        <v>0</v>
      </c>
      <c r="H34" s="31">
        <v>1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B34" s="32">
        <v>0</v>
      </c>
      <c r="AC34" s="32">
        <v>0</v>
      </c>
      <c r="AD34" s="32">
        <v>0</v>
      </c>
      <c r="AE34" s="32">
        <v>0</v>
      </c>
      <c r="AF34" s="32">
        <v>0</v>
      </c>
      <c r="AG34" s="32">
        <v>0</v>
      </c>
    </row>
    <row r="35" spans="2:33" s="2" customFormat="1" ht="48" customHeight="1" x14ac:dyDescent="0.25">
      <c r="B35" s="29" t="s">
        <v>59</v>
      </c>
      <c r="C35" s="27" t="s">
        <v>43</v>
      </c>
      <c r="D35" s="27" t="s">
        <v>62</v>
      </c>
      <c r="E35" s="27" t="s">
        <v>61</v>
      </c>
      <c r="F35" s="28">
        <v>0</v>
      </c>
      <c r="G35" s="31">
        <v>1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31">
        <v>1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31">
        <v>1</v>
      </c>
      <c r="Z35" s="28">
        <v>0</v>
      </c>
      <c r="AB35" s="32">
        <v>0</v>
      </c>
      <c r="AC35" s="32">
        <v>0</v>
      </c>
      <c r="AD35" s="32">
        <v>0</v>
      </c>
      <c r="AE35" s="32">
        <v>0</v>
      </c>
      <c r="AF35" s="32">
        <v>0</v>
      </c>
      <c r="AG35" s="32">
        <v>0</v>
      </c>
    </row>
    <row r="36" spans="2:33" s="2" customFormat="1" ht="48" customHeight="1" x14ac:dyDescent="0.25">
      <c r="B36" s="29" t="s">
        <v>59</v>
      </c>
      <c r="C36" s="27" t="s">
        <v>43</v>
      </c>
      <c r="D36" s="27" t="s">
        <v>63</v>
      </c>
      <c r="E36" s="27" t="s">
        <v>61</v>
      </c>
      <c r="F36" s="28">
        <v>0</v>
      </c>
      <c r="G36" s="31">
        <v>2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B36" s="35">
        <v>25</v>
      </c>
      <c r="AC36" s="35">
        <v>2</v>
      </c>
      <c r="AD36" s="35">
        <v>3</v>
      </c>
      <c r="AE36" s="35">
        <v>1</v>
      </c>
      <c r="AF36" s="32">
        <v>0</v>
      </c>
      <c r="AG36" s="32">
        <v>0</v>
      </c>
    </row>
    <row r="37" spans="2:33" s="2" customFormat="1" ht="48" customHeight="1" x14ac:dyDescent="0.25">
      <c r="B37" s="29" t="s">
        <v>59</v>
      </c>
      <c r="C37" s="27" t="s">
        <v>43</v>
      </c>
      <c r="D37" s="27" t="s">
        <v>64</v>
      </c>
      <c r="E37" s="27" t="s">
        <v>61</v>
      </c>
      <c r="F37" s="28">
        <v>0</v>
      </c>
      <c r="G37" s="31">
        <v>1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B37" s="35">
        <v>10</v>
      </c>
      <c r="AC37" s="35">
        <v>2</v>
      </c>
      <c r="AD37" s="32">
        <v>0</v>
      </c>
      <c r="AE37" s="32">
        <v>0</v>
      </c>
      <c r="AF37" s="32">
        <v>0</v>
      </c>
      <c r="AG37" s="32">
        <v>0</v>
      </c>
    </row>
    <row r="38" spans="2:33" s="2" customFormat="1" ht="48" customHeight="1" x14ac:dyDescent="0.25">
      <c r="B38" s="29" t="s">
        <v>59</v>
      </c>
      <c r="C38" s="27" t="s">
        <v>43</v>
      </c>
      <c r="D38" s="27" t="s">
        <v>65</v>
      </c>
      <c r="E38" s="27" t="s">
        <v>61</v>
      </c>
      <c r="F38" s="28"/>
      <c r="G38" s="31">
        <v>1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B38" s="32">
        <v>0</v>
      </c>
      <c r="AC38" s="32">
        <v>0</v>
      </c>
      <c r="AD38" s="32">
        <v>0</v>
      </c>
      <c r="AE38" s="32">
        <v>0</v>
      </c>
      <c r="AF38" s="32">
        <v>0</v>
      </c>
      <c r="AG38" s="32">
        <v>0</v>
      </c>
    </row>
    <row r="39" spans="2:33" s="2" customFormat="1" ht="49.5" customHeight="1" x14ac:dyDescent="0.25">
      <c r="B39" s="29" t="s">
        <v>59</v>
      </c>
      <c r="C39" s="27" t="s">
        <v>66</v>
      </c>
      <c r="D39" s="27" t="s">
        <v>67</v>
      </c>
      <c r="E39" s="27" t="s">
        <v>61</v>
      </c>
      <c r="F39" s="28">
        <v>0</v>
      </c>
      <c r="G39" s="31">
        <v>3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31">
        <v>1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B39" s="35">
        <v>13</v>
      </c>
      <c r="AC39" s="35">
        <v>1</v>
      </c>
      <c r="AD39" s="32">
        <v>0</v>
      </c>
      <c r="AE39" s="32">
        <v>0</v>
      </c>
      <c r="AF39" s="32">
        <v>0</v>
      </c>
      <c r="AG39" s="35">
        <v>2</v>
      </c>
    </row>
    <row r="40" spans="2:33" s="2" customFormat="1" ht="49.5" customHeight="1" x14ac:dyDescent="0.25">
      <c r="B40" s="29" t="s">
        <v>59</v>
      </c>
      <c r="C40" s="27" t="s">
        <v>66</v>
      </c>
      <c r="D40" s="27" t="s">
        <v>68</v>
      </c>
      <c r="E40" s="27" t="s">
        <v>61</v>
      </c>
      <c r="F40" s="28">
        <v>0</v>
      </c>
      <c r="G40" s="31">
        <v>1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31">
        <v>1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B40" s="35">
        <v>11</v>
      </c>
      <c r="AC40" s="32">
        <v>0</v>
      </c>
      <c r="AD40" s="32">
        <v>0</v>
      </c>
      <c r="AE40" s="32">
        <v>0</v>
      </c>
      <c r="AF40" s="32">
        <v>0</v>
      </c>
      <c r="AG40" s="35">
        <v>3</v>
      </c>
    </row>
    <row r="41" spans="2:33" s="2" customFormat="1" ht="49.5" customHeight="1" x14ac:dyDescent="0.25">
      <c r="B41" s="29" t="s">
        <v>59</v>
      </c>
      <c r="C41" s="27" t="s">
        <v>66</v>
      </c>
      <c r="D41" s="27" t="s">
        <v>69</v>
      </c>
      <c r="E41" s="27" t="s">
        <v>61</v>
      </c>
      <c r="F41" s="28">
        <v>0</v>
      </c>
      <c r="G41" s="31">
        <v>2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B41" s="35">
        <v>9</v>
      </c>
      <c r="AC41" s="35">
        <v>1</v>
      </c>
      <c r="AD41" s="35">
        <v>1</v>
      </c>
      <c r="AE41" s="35">
        <v>1</v>
      </c>
      <c r="AF41" s="32">
        <v>0</v>
      </c>
      <c r="AG41" s="35">
        <v>4</v>
      </c>
    </row>
    <row r="42" spans="2:33" s="2" customFormat="1" ht="49.5" customHeight="1" x14ac:dyDescent="0.25">
      <c r="B42" s="29" t="s">
        <v>59</v>
      </c>
      <c r="C42" s="27" t="s">
        <v>66</v>
      </c>
      <c r="D42" s="27" t="s">
        <v>188</v>
      </c>
      <c r="E42" s="27" t="s">
        <v>61</v>
      </c>
      <c r="F42" s="28">
        <v>0</v>
      </c>
      <c r="G42" s="31">
        <v>3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B42" s="35">
        <v>11</v>
      </c>
      <c r="AC42" s="35">
        <v>1</v>
      </c>
      <c r="AD42" s="35">
        <v>1</v>
      </c>
      <c r="AE42" s="35">
        <v>1</v>
      </c>
      <c r="AF42" s="32">
        <v>0</v>
      </c>
      <c r="AG42" s="35">
        <v>3</v>
      </c>
    </row>
    <row r="43" spans="2:33" s="2" customFormat="1" ht="49.5" customHeight="1" x14ac:dyDescent="0.25">
      <c r="B43" s="29" t="s">
        <v>59</v>
      </c>
      <c r="C43" s="27" t="s">
        <v>66</v>
      </c>
      <c r="D43" s="27" t="s">
        <v>189</v>
      </c>
      <c r="E43" s="27" t="s">
        <v>70</v>
      </c>
      <c r="F43" s="28">
        <v>0</v>
      </c>
      <c r="G43" s="31">
        <v>2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B43" s="35">
        <v>13</v>
      </c>
      <c r="AC43" s="35">
        <v>1</v>
      </c>
      <c r="AD43" s="35">
        <v>1</v>
      </c>
      <c r="AE43" s="35">
        <v>1</v>
      </c>
      <c r="AF43" s="32">
        <v>0</v>
      </c>
      <c r="AG43" s="35">
        <v>2</v>
      </c>
    </row>
    <row r="44" spans="2:33" s="2" customFormat="1" ht="49.5" customHeight="1" x14ac:dyDescent="0.25">
      <c r="B44" s="29" t="s">
        <v>59</v>
      </c>
      <c r="C44" s="27" t="s">
        <v>66</v>
      </c>
      <c r="D44" s="27" t="s">
        <v>190</v>
      </c>
      <c r="E44" s="27" t="s">
        <v>71</v>
      </c>
      <c r="F44" s="28">
        <v>0</v>
      </c>
      <c r="G44" s="31">
        <v>1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B44" s="35">
        <v>8</v>
      </c>
      <c r="AC44" s="35">
        <v>1</v>
      </c>
      <c r="AD44" s="35">
        <v>1</v>
      </c>
      <c r="AE44" s="35">
        <v>1</v>
      </c>
      <c r="AF44" s="32">
        <v>0</v>
      </c>
      <c r="AG44" s="35">
        <v>1</v>
      </c>
    </row>
    <row r="45" spans="2:33" s="2" customFormat="1" ht="49.5" customHeight="1" x14ac:dyDescent="0.25">
      <c r="B45" s="29" t="s">
        <v>59</v>
      </c>
      <c r="C45" s="27" t="s">
        <v>66</v>
      </c>
      <c r="D45" s="27" t="s">
        <v>72</v>
      </c>
      <c r="E45" s="27" t="s">
        <v>73</v>
      </c>
      <c r="F45" s="28">
        <v>0</v>
      </c>
      <c r="G45" s="31">
        <v>1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</row>
    <row r="46" spans="2:33" s="2" customFormat="1" ht="43.5" customHeight="1" x14ac:dyDescent="0.25">
      <c r="B46" s="29" t="s">
        <v>59</v>
      </c>
      <c r="C46" s="27" t="s">
        <v>155</v>
      </c>
      <c r="D46" s="27" t="s">
        <v>191</v>
      </c>
      <c r="E46" s="27" t="s">
        <v>71</v>
      </c>
      <c r="F46" s="28">
        <v>0</v>
      </c>
      <c r="G46" s="31">
        <v>2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58">
        <f>+AA48*1</f>
        <v>436200612.09216368</v>
      </c>
      <c r="AB46" s="35">
        <v>8</v>
      </c>
      <c r="AC46" s="35">
        <v>1</v>
      </c>
      <c r="AD46" s="35">
        <v>1</v>
      </c>
      <c r="AE46" s="35">
        <v>1</v>
      </c>
      <c r="AF46" s="32">
        <v>0</v>
      </c>
      <c r="AG46" s="35">
        <v>3</v>
      </c>
    </row>
    <row r="47" spans="2:33" s="2" customFormat="1" ht="43.5" customHeight="1" x14ac:dyDescent="0.25">
      <c r="B47" s="29" t="s">
        <v>59</v>
      </c>
      <c r="C47" s="27" t="s">
        <v>155</v>
      </c>
      <c r="D47" s="27" t="s">
        <v>172</v>
      </c>
      <c r="E47" s="27" t="s">
        <v>61</v>
      </c>
      <c r="F47" s="28">
        <v>0</v>
      </c>
      <c r="G47" s="31">
        <v>3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32">
        <v>0</v>
      </c>
    </row>
    <row r="48" spans="2:33" s="2" customFormat="1" ht="43.5" customHeight="1" x14ac:dyDescent="0.25">
      <c r="B48" s="29" t="s">
        <v>59</v>
      </c>
      <c r="C48" s="27" t="s">
        <v>155</v>
      </c>
      <c r="D48" s="27" t="s">
        <v>173</v>
      </c>
      <c r="E48" s="27" t="s">
        <v>127</v>
      </c>
      <c r="F48" s="28">
        <v>0</v>
      </c>
      <c r="G48" s="31">
        <v>4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58">
        <f>+(G49*G97)+(H49*H97)+(P49*P97)+(Q49*Q97)+(Y49*Y97)</f>
        <v>436200612.09216368</v>
      </c>
      <c r="AB48" s="32">
        <v>0</v>
      </c>
      <c r="AC48" s="32">
        <v>0</v>
      </c>
      <c r="AD48" s="32">
        <v>0</v>
      </c>
      <c r="AE48" s="32">
        <v>0</v>
      </c>
      <c r="AF48" s="32">
        <v>0</v>
      </c>
      <c r="AG48" s="32">
        <v>0</v>
      </c>
    </row>
    <row r="49" spans="2:33" s="53" customFormat="1" ht="19.5" customHeight="1" x14ac:dyDescent="0.25">
      <c r="B49" s="165" t="s">
        <v>74</v>
      </c>
      <c r="C49" s="165"/>
      <c r="D49" s="165"/>
      <c r="E49" s="165"/>
      <c r="F49" s="85">
        <f t="shared" ref="F49:Z49" si="6">SUM(F34:F48)</f>
        <v>0</v>
      </c>
      <c r="G49" s="85">
        <f t="shared" si="6"/>
        <v>27</v>
      </c>
      <c r="H49" s="85">
        <f t="shared" si="6"/>
        <v>1</v>
      </c>
      <c r="I49" s="85">
        <f t="shared" si="6"/>
        <v>0</v>
      </c>
      <c r="J49" s="85">
        <f t="shared" si="6"/>
        <v>0</v>
      </c>
      <c r="K49" s="85">
        <f t="shared" si="6"/>
        <v>0</v>
      </c>
      <c r="L49" s="85">
        <f t="shared" si="6"/>
        <v>0</v>
      </c>
      <c r="M49" s="85">
        <f t="shared" si="6"/>
        <v>0</v>
      </c>
      <c r="N49" s="85">
        <f t="shared" si="6"/>
        <v>0</v>
      </c>
      <c r="O49" s="85">
        <f t="shared" si="6"/>
        <v>0</v>
      </c>
      <c r="P49" s="85">
        <f t="shared" si="6"/>
        <v>1</v>
      </c>
      <c r="Q49" s="85">
        <f t="shared" si="6"/>
        <v>2</v>
      </c>
      <c r="R49" s="85">
        <f t="shared" si="6"/>
        <v>0</v>
      </c>
      <c r="S49" s="85">
        <f t="shared" si="6"/>
        <v>0</v>
      </c>
      <c r="T49" s="85">
        <f t="shared" si="6"/>
        <v>0</v>
      </c>
      <c r="U49" s="85">
        <f t="shared" si="6"/>
        <v>0</v>
      </c>
      <c r="V49" s="85">
        <f t="shared" si="6"/>
        <v>0</v>
      </c>
      <c r="W49" s="85">
        <f t="shared" si="6"/>
        <v>0</v>
      </c>
      <c r="X49" s="85">
        <f t="shared" si="6"/>
        <v>0</v>
      </c>
      <c r="Y49" s="85">
        <f t="shared" si="6"/>
        <v>1</v>
      </c>
      <c r="Z49" s="85">
        <f t="shared" si="6"/>
        <v>0</v>
      </c>
      <c r="AA49" s="86">
        <f>SUM(F49:Z49)</f>
        <v>32</v>
      </c>
      <c r="AB49" s="87">
        <f>SUM(AB34:AB48)</f>
        <v>108</v>
      </c>
      <c r="AC49" s="87">
        <f t="shared" ref="AC49:AG49" si="7">SUM(AC34:AC48)</f>
        <v>10</v>
      </c>
      <c r="AD49" s="87">
        <f t="shared" si="7"/>
        <v>8</v>
      </c>
      <c r="AE49" s="87">
        <f t="shared" si="7"/>
        <v>6</v>
      </c>
      <c r="AF49" s="87">
        <f t="shared" si="7"/>
        <v>0</v>
      </c>
      <c r="AG49" s="87">
        <f t="shared" si="7"/>
        <v>18</v>
      </c>
    </row>
    <row r="50" spans="2:33" s="2" customFormat="1" ht="49.5" customHeight="1" x14ac:dyDescent="0.25">
      <c r="B50" s="29" t="s">
        <v>75</v>
      </c>
      <c r="C50" s="27" t="s">
        <v>198</v>
      </c>
      <c r="D50" s="27" t="s">
        <v>196</v>
      </c>
      <c r="E50" s="27" t="s">
        <v>128</v>
      </c>
      <c r="F50" s="28">
        <v>0</v>
      </c>
      <c r="G50" s="31">
        <v>5</v>
      </c>
      <c r="H50" s="31">
        <v>1</v>
      </c>
      <c r="I50" s="28"/>
      <c r="J50" s="28"/>
      <c r="K50" s="28"/>
      <c r="L50" s="28">
        <v>0</v>
      </c>
      <c r="M50" s="28">
        <v>0</v>
      </c>
      <c r="N50" s="28">
        <v>0</v>
      </c>
      <c r="O50" s="28">
        <v>0</v>
      </c>
      <c r="P50" s="31">
        <v>1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B50" s="35">
        <v>45</v>
      </c>
      <c r="AC50" s="35">
        <v>2</v>
      </c>
      <c r="AD50" s="35">
        <v>2</v>
      </c>
      <c r="AE50" s="35">
        <v>2</v>
      </c>
      <c r="AF50" s="32">
        <v>0</v>
      </c>
      <c r="AG50" s="35">
        <v>1</v>
      </c>
    </row>
    <row r="51" spans="2:33" s="2" customFormat="1" ht="43.5" customHeight="1" x14ac:dyDescent="0.25">
      <c r="B51" s="29" t="s">
        <v>75</v>
      </c>
      <c r="C51" s="27" t="s">
        <v>198</v>
      </c>
      <c r="D51" s="27" t="s">
        <v>76</v>
      </c>
      <c r="E51" s="27" t="s">
        <v>128</v>
      </c>
      <c r="F51" s="28">
        <v>0</v>
      </c>
      <c r="G51" s="31">
        <v>1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31">
        <v>1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B51" s="35">
        <v>6</v>
      </c>
      <c r="AC51" s="35">
        <v>1</v>
      </c>
      <c r="AD51" s="35">
        <v>1</v>
      </c>
      <c r="AE51" s="35">
        <v>1</v>
      </c>
      <c r="AF51" s="32">
        <v>0</v>
      </c>
      <c r="AG51" s="35">
        <v>1</v>
      </c>
    </row>
    <row r="52" spans="2:33" s="2" customFormat="1" ht="43.5" customHeight="1" x14ac:dyDescent="0.25">
      <c r="B52" s="29" t="s">
        <v>75</v>
      </c>
      <c r="C52" s="27" t="s">
        <v>198</v>
      </c>
      <c r="D52" s="27" t="s">
        <v>156</v>
      </c>
      <c r="E52" s="27" t="s">
        <v>128</v>
      </c>
      <c r="F52" s="28">
        <v>0</v>
      </c>
      <c r="G52" s="31">
        <v>3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B52" s="35">
        <f>25</f>
        <v>25</v>
      </c>
      <c r="AC52" s="32">
        <v>0</v>
      </c>
      <c r="AD52" s="35">
        <f>2</f>
        <v>2</v>
      </c>
      <c r="AE52" s="35">
        <v>2</v>
      </c>
      <c r="AF52" s="32">
        <v>0</v>
      </c>
      <c r="AG52" s="35">
        <v>1</v>
      </c>
    </row>
    <row r="53" spans="2:33" s="2" customFormat="1" ht="49.5" customHeight="1" x14ac:dyDescent="0.25">
      <c r="B53" s="29" t="s">
        <v>75</v>
      </c>
      <c r="C53" s="27" t="s">
        <v>169</v>
      </c>
      <c r="D53" s="27" t="s">
        <v>157</v>
      </c>
      <c r="E53" s="27" t="s">
        <v>128</v>
      </c>
      <c r="F53" s="28">
        <v>0</v>
      </c>
      <c r="G53" s="31">
        <v>5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B53" s="35">
        <v>25</v>
      </c>
      <c r="AC53" s="35">
        <v>1</v>
      </c>
      <c r="AD53" s="35">
        <v>1</v>
      </c>
      <c r="AE53" s="35">
        <v>1</v>
      </c>
      <c r="AF53" s="32">
        <v>0</v>
      </c>
      <c r="AG53" s="35">
        <v>1</v>
      </c>
    </row>
    <row r="54" spans="2:33" s="2" customFormat="1" ht="43.5" customHeight="1" x14ac:dyDescent="0.25">
      <c r="B54" s="29" t="s">
        <v>75</v>
      </c>
      <c r="C54" s="27" t="s">
        <v>198</v>
      </c>
      <c r="D54" s="27" t="s">
        <v>170</v>
      </c>
      <c r="E54" s="27" t="s">
        <v>159</v>
      </c>
      <c r="F54" s="28">
        <v>0</v>
      </c>
      <c r="G54" s="31">
        <v>3</v>
      </c>
      <c r="H54" s="31">
        <v>1</v>
      </c>
      <c r="I54" s="28"/>
      <c r="J54" s="28"/>
      <c r="K54" s="28"/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58">
        <f>+AA56*1</f>
        <v>412058059.23083788</v>
      </c>
      <c r="AB54" s="32">
        <v>0</v>
      </c>
      <c r="AC54" s="32">
        <v>0</v>
      </c>
      <c r="AD54" s="32">
        <v>0</v>
      </c>
      <c r="AE54" s="32">
        <v>0</v>
      </c>
      <c r="AF54" s="32">
        <v>0</v>
      </c>
      <c r="AG54" s="32">
        <v>0</v>
      </c>
    </row>
    <row r="55" spans="2:33" s="2" customFormat="1" ht="49.5" customHeight="1" x14ac:dyDescent="0.25">
      <c r="B55" s="29" t="s">
        <v>75</v>
      </c>
      <c r="C55" s="27" t="s">
        <v>169</v>
      </c>
      <c r="D55" s="27" t="s">
        <v>158</v>
      </c>
      <c r="E55" s="27" t="s">
        <v>129</v>
      </c>
      <c r="F55" s="28">
        <v>0</v>
      </c>
      <c r="G55" s="31">
        <v>7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B55" s="35">
        <v>15</v>
      </c>
      <c r="AC55" s="35">
        <v>1</v>
      </c>
      <c r="AD55" s="35">
        <v>1</v>
      </c>
      <c r="AE55" s="35">
        <v>1</v>
      </c>
      <c r="AF55" s="32">
        <v>0</v>
      </c>
      <c r="AG55" s="35">
        <v>1</v>
      </c>
    </row>
    <row r="56" spans="2:33" s="2" customFormat="1" ht="49.5" customHeight="1" x14ac:dyDescent="0.25">
      <c r="B56" s="29" t="s">
        <v>75</v>
      </c>
      <c r="C56" s="27" t="s">
        <v>169</v>
      </c>
      <c r="D56" s="27" t="s">
        <v>174</v>
      </c>
      <c r="E56" s="27" t="s">
        <v>129</v>
      </c>
      <c r="F56" s="28">
        <v>0</v>
      </c>
      <c r="G56" s="31">
        <v>1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58">
        <f>+(G57*G97)+(H57*H97)+(P57*P97)</f>
        <v>412058059.23083788</v>
      </c>
      <c r="AB56" s="35">
        <v>5</v>
      </c>
      <c r="AC56" s="35">
        <v>0</v>
      </c>
      <c r="AD56" s="35">
        <v>1</v>
      </c>
      <c r="AE56" s="35">
        <v>1</v>
      </c>
      <c r="AF56" s="32">
        <v>0</v>
      </c>
      <c r="AG56" s="35">
        <v>1</v>
      </c>
    </row>
    <row r="57" spans="2:33" s="53" customFormat="1" ht="19.5" customHeight="1" x14ac:dyDescent="0.25">
      <c r="B57" s="165" t="s">
        <v>77</v>
      </c>
      <c r="C57" s="165"/>
      <c r="D57" s="165"/>
      <c r="E57" s="165"/>
      <c r="F57" s="85">
        <f>SUM(F50:F56)</f>
        <v>0</v>
      </c>
      <c r="G57" s="85">
        <f>SUM(G50:G56)</f>
        <v>25</v>
      </c>
      <c r="H57" s="85">
        <f t="shared" ref="H57:Z57" si="8">SUM(H50:H56)</f>
        <v>2</v>
      </c>
      <c r="I57" s="85">
        <f t="shared" si="8"/>
        <v>0</v>
      </c>
      <c r="J57" s="85">
        <f t="shared" si="8"/>
        <v>0</v>
      </c>
      <c r="K57" s="85">
        <f t="shared" si="8"/>
        <v>0</v>
      </c>
      <c r="L57" s="85">
        <f t="shared" si="8"/>
        <v>0</v>
      </c>
      <c r="M57" s="85">
        <f t="shared" si="8"/>
        <v>0</v>
      </c>
      <c r="N57" s="85">
        <f t="shared" si="8"/>
        <v>0</v>
      </c>
      <c r="O57" s="85">
        <f t="shared" si="8"/>
        <v>0</v>
      </c>
      <c r="P57" s="85">
        <f t="shared" si="8"/>
        <v>2</v>
      </c>
      <c r="Q57" s="85">
        <f t="shared" si="8"/>
        <v>0</v>
      </c>
      <c r="R57" s="85">
        <f t="shared" si="8"/>
        <v>0</v>
      </c>
      <c r="S57" s="85">
        <f t="shared" si="8"/>
        <v>0</v>
      </c>
      <c r="T57" s="85">
        <f t="shared" si="8"/>
        <v>0</v>
      </c>
      <c r="U57" s="85">
        <f t="shared" si="8"/>
        <v>0</v>
      </c>
      <c r="V57" s="85">
        <f t="shared" si="8"/>
        <v>0</v>
      </c>
      <c r="W57" s="85">
        <f t="shared" si="8"/>
        <v>0</v>
      </c>
      <c r="X57" s="85">
        <f t="shared" si="8"/>
        <v>0</v>
      </c>
      <c r="Y57" s="85">
        <f t="shared" si="8"/>
        <v>0</v>
      </c>
      <c r="Z57" s="85">
        <f t="shared" si="8"/>
        <v>0</v>
      </c>
      <c r="AA57" s="86">
        <f>SUM(F57:Z57)</f>
        <v>29</v>
      </c>
      <c r="AB57" s="88">
        <f>SUM(AB50:AB56)</f>
        <v>121</v>
      </c>
      <c r="AC57" s="88">
        <f t="shared" ref="AC57:AG57" si="9">SUM(AC50:AC56)</f>
        <v>5</v>
      </c>
      <c r="AD57" s="88">
        <f t="shared" si="9"/>
        <v>8</v>
      </c>
      <c r="AE57" s="88">
        <f t="shared" si="9"/>
        <v>8</v>
      </c>
      <c r="AF57" s="88">
        <f t="shared" si="9"/>
        <v>0</v>
      </c>
      <c r="AG57" s="88">
        <f t="shared" si="9"/>
        <v>6</v>
      </c>
    </row>
    <row r="58" spans="2:33" s="2" customFormat="1" ht="49.5" customHeight="1" x14ac:dyDescent="0.25">
      <c r="B58" s="29" t="s">
        <v>78</v>
      </c>
      <c r="C58" s="27" t="s">
        <v>33</v>
      </c>
      <c r="D58" s="27" t="s">
        <v>160</v>
      </c>
      <c r="E58" s="27" t="s">
        <v>119</v>
      </c>
      <c r="F58" s="28">
        <v>0</v>
      </c>
      <c r="G58" s="31">
        <v>5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B58" s="35">
        <v>26</v>
      </c>
      <c r="AC58" s="35">
        <v>3</v>
      </c>
      <c r="AD58" s="35">
        <v>1</v>
      </c>
      <c r="AE58" s="35">
        <v>1</v>
      </c>
      <c r="AF58" s="35">
        <v>1</v>
      </c>
      <c r="AG58" s="35">
        <v>2</v>
      </c>
    </row>
    <row r="59" spans="2:33" s="2" customFormat="1" ht="49.5" customHeight="1" x14ac:dyDescent="0.25">
      <c r="B59" s="29" t="s">
        <v>78</v>
      </c>
      <c r="C59" s="27" t="s">
        <v>43</v>
      </c>
      <c r="D59" s="27" t="s">
        <v>164</v>
      </c>
      <c r="E59" s="27" t="s">
        <v>119</v>
      </c>
      <c r="F59" s="28">
        <v>0</v>
      </c>
      <c r="G59" s="31">
        <v>1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B59" s="32">
        <v>0</v>
      </c>
      <c r="AC59" s="32">
        <v>0</v>
      </c>
      <c r="AD59" s="32">
        <v>0</v>
      </c>
      <c r="AE59" s="32">
        <v>0</v>
      </c>
      <c r="AF59" s="32">
        <v>0</v>
      </c>
      <c r="AG59" s="32">
        <v>0</v>
      </c>
    </row>
    <row r="60" spans="2:33" s="2" customFormat="1" ht="44.25" customHeight="1" x14ac:dyDescent="0.25">
      <c r="B60" s="30" t="s">
        <v>78</v>
      </c>
      <c r="C60" s="27" t="s">
        <v>79</v>
      </c>
      <c r="D60" s="27" t="s">
        <v>161</v>
      </c>
      <c r="E60" s="27" t="s">
        <v>119</v>
      </c>
      <c r="F60" s="28">
        <v>0</v>
      </c>
      <c r="G60" s="36">
        <v>1</v>
      </c>
      <c r="H60" s="31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B60" s="32">
        <v>0</v>
      </c>
      <c r="AC60" s="32">
        <v>0</v>
      </c>
      <c r="AD60" s="32">
        <v>0</v>
      </c>
      <c r="AE60" s="32">
        <v>0</v>
      </c>
      <c r="AF60" s="32">
        <v>0</v>
      </c>
      <c r="AG60" s="32">
        <v>0</v>
      </c>
    </row>
    <row r="61" spans="2:33" s="2" customFormat="1" ht="44.25" customHeight="1" x14ac:dyDescent="0.25">
      <c r="B61" s="30" t="s">
        <v>78</v>
      </c>
      <c r="C61" s="27" t="s">
        <v>79</v>
      </c>
      <c r="D61" s="27" t="s">
        <v>162</v>
      </c>
      <c r="E61" s="27" t="s">
        <v>119</v>
      </c>
      <c r="F61" s="28">
        <v>0</v>
      </c>
      <c r="G61" s="36">
        <v>3</v>
      </c>
      <c r="H61" s="31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B61" s="35">
        <v>16</v>
      </c>
      <c r="AC61" s="32">
        <v>0</v>
      </c>
      <c r="AD61" s="35">
        <v>1</v>
      </c>
      <c r="AE61" s="35">
        <v>1</v>
      </c>
      <c r="AF61" s="35">
        <v>1</v>
      </c>
      <c r="AG61" s="35">
        <v>1</v>
      </c>
    </row>
    <row r="62" spans="2:33" s="2" customFormat="1" ht="44.25" customHeight="1" x14ac:dyDescent="0.25">
      <c r="B62" s="30" t="s">
        <v>78</v>
      </c>
      <c r="C62" s="27" t="s">
        <v>79</v>
      </c>
      <c r="D62" s="27" t="s">
        <v>163</v>
      </c>
      <c r="E62" s="27" t="s">
        <v>119</v>
      </c>
      <c r="F62" s="28">
        <v>0</v>
      </c>
      <c r="G62" s="36">
        <v>1</v>
      </c>
      <c r="H62" s="31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B62" s="32">
        <v>0</v>
      </c>
      <c r="AC62" s="32">
        <v>0</v>
      </c>
      <c r="AD62" s="32">
        <v>0</v>
      </c>
      <c r="AE62" s="32">
        <v>0</v>
      </c>
      <c r="AF62" s="32">
        <v>0</v>
      </c>
      <c r="AG62" s="32">
        <v>0</v>
      </c>
    </row>
    <row r="63" spans="2:33" s="2" customFormat="1" ht="44.25" customHeight="1" x14ac:dyDescent="0.25">
      <c r="B63" s="30" t="s">
        <v>78</v>
      </c>
      <c r="C63" s="27" t="s">
        <v>79</v>
      </c>
      <c r="D63" s="27" t="s">
        <v>80</v>
      </c>
      <c r="E63" s="27" t="s">
        <v>119</v>
      </c>
      <c r="F63" s="28">
        <v>0</v>
      </c>
      <c r="G63" s="36">
        <v>2</v>
      </c>
      <c r="H63" s="31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B63" s="35">
        <v>23</v>
      </c>
      <c r="AC63" s="32">
        <v>0</v>
      </c>
      <c r="AD63" s="35">
        <v>1</v>
      </c>
      <c r="AE63" s="35">
        <v>1</v>
      </c>
      <c r="AF63" s="35">
        <v>1</v>
      </c>
      <c r="AG63" s="35">
        <v>1</v>
      </c>
    </row>
    <row r="64" spans="2:33" s="2" customFormat="1" ht="49.5" customHeight="1" x14ac:dyDescent="0.25">
      <c r="B64" s="29" t="s">
        <v>78</v>
      </c>
      <c r="C64" s="27" t="s">
        <v>81</v>
      </c>
      <c r="D64" s="27" t="s">
        <v>82</v>
      </c>
      <c r="E64" s="27" t="s">
        <v>130</v>
      </c>
      <c r="F64" s="28">
        <v>0</v>
      </c>
      <c r="G64" s="31">
        <v>4</v>
      </c>
      <c r="H64" s="28">
        <v>0</v>
      </c>
      <c r="I64" s="28">
        <v>0</v>
      </c>
      <c r="J64" s="28">
        <v>0</v>
      </c>
      <c r="K64" s="28">
        <v>0</v>
      </c>
      <c r="L64" s="31">
        <v>1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31">
        <v>1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B64" s="35">
        <v>28</v>
      </c>
      <c r="AC64" s="35">
        <v>4</v>
      </c>
      <c r="AD64" s="35">
        <v>2</v>
      </c>
      <c r="AE64" s="35">
        <v>2</v>
      </c>
      <c r="AF64" s="35">
        <v>2</v>
      </c>
      <c r="AG64" s="35">
        <v>5</v>
      </c>
    </row>
    <row r="65" spans="2:33" s="2" customFormat="1" ht="49.5" customHeight="1" x14ac:dyDescent="0.25">
      <c r="B65" s="29" t="s">
        <v>78</v>
      </c>
      <c r="C65" s="27" t="s">
        <v>83</v>
      </c>
      <c r="D65" s="27" t="s">
        <v>141</v>
      </c>
      <c r="E65" s="27" t="s">
        <v>131</v>
      </c>
      <c r="F65" s="31">
        <v>2</v>
      </c>
      <c r="G65" s="31">
        <v>3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B65" s="35">
        <v>19</v>
      </c>
      <c r="AC65" s="35">
        <v>4</v>
      </c>
      <c r="AD65" s="35">
        <v>2</v>
      </c>
      <c r="AE65" s="35">
        <v>2</v>
      </c>
      <c r="AF65" s="35">
        <v>2</v>
      </c>
      <c r="AG65" s="35">
        <v>5</v>
      </c>
    </row>
    <row r="66" spans="2:33" s="2" customFormat="1" ht="44.25" customHeight="1" x14ac:dyDescent="0.25">
      <c r="B66" s="30" t="s">
        <v>78</v>
      </c>
      <c r="C66" s="27" t="s">
        <v>84</v>
      </c>
      <c r="D66" s="27" t="s">
        <v>85</v>
      </c>
      <c r="E66" s="27" t="s">
        <v>132</v>
      </c>
      <c r="F66" s="36">
        <v>1</v>
      </c>
      <c r="G66" s="36">
        <v>5</v>
      </c>
      <c r="H66" s="31">
        <v>1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B66" s="35">
        <v>67</v>
      </c>
      <c r="AC66" s="35">
        <v>2</v>
      </c>
      <c r="AD66" s="35">
        <v>3</v>
      </c>
      <c r="AE66" s="35">
        <v>3</v>
      </c>
      <c r="AF66" s="35">
        <v>1</v>
      </c>
      <c r="AG66" s="35">
        <v>3</v>
      </c>
    </row>
    <row r="67" spans="2:33" s="2" customFormat="1" ht="44.25" customHeight="1" x14ac:dyDescent="0.25">
      <c r="B67" s="30" t="s">
        <v>78</v>
      </c>
      <c r="C67" s="27" t="s">
        <v>84</v>
      </c>
      <c r="D67" s="27" t="s">
        <v>140</v>
      </c>
      <c r="E67" s="27" t="s">
        <v>132</v>
      </c>
      <c r="F67" s="28">
        <v>0</v>
      </c>
      <c r="G67" s="36">
        <v>1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B67" s="35">
        <v>8</v>
      </c>
      <c r="AC67" s="35">
        <v>1</v>
      </c>
      <c r="AD67" s="35">
        <v>1</v>
      </c>
      <c r="AE67" s="35">
        <v>1</v>
      </c>
      <c r="AF67" s="32">
        <v>0</v>
      </c>
      <c r="AG67" s="32">
        <v>0</v>
      </c>
    </row>
    <row r="68" spans="2:33" s="2" customFormat="1" ht="44.25" customHeight="1" x14ac:dyDescent="0.25">
      <c r="B68" s="30" t="s">
        <v>78</v>
      </c>
      <c r="C68" s="27" t="s">
        <v>84</v>
      </c>
      <c r="D68" s="27" t="s">
        <v>86</v>
      </c>
      <c r="E68" s="27" t="s">
        <v>132</v>
      </c>
      <c r="F68" s="28">
        <v>0</v>
      </c>
      <c r="G68" s="36">
        <v>2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B68" s="32">
        <v>0</v>
      </c>
      <c r="AC68" s="32">
        <v>0</v>
      </c>
      <c r="AD68" s="32">
        <v>0</v>
      </c>
      <c r="AE68" s="32">
        <v>0</v>
      </c>
      <c r="AF68" s="32">
        <v>0</v>
      </c>
      <c r="AG68" s="32">
        <v>0</v>
      </c>
    </row>
    <row r="69" spans="2:33" s="2" customFormat="1" ht="49.5" customHeight="1" x14ac:dyDescent="0.25">
      <c r="B69" s="29" t="s">
        <v>78</v>
      </c>
      <c r="C69" s="27" t="s">
        <v>87</v>
      </c>
      <c r="D69" s="27" t="s">
        <v>165</v>
      </c>
      <c r="E69" s="27" t="s">
        <v>132</v>
      </c>
      <c r="F69" s="28">
        <v>0</v>
      </c>
      <c r="G69" s="31">
        <v>2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B69" s="35">
        <v>13</v>
      </c>
      <c r="AC69" s="35">
        <v>3</v>
      </c>
      <c r="AD69" s="35">
        <v>1</v>
      </c>
      <c r="AE69" s="35">
        <v>1</v>
      </c>
      <c r="AF69" s="32">
        <v>0</v>
      </c>
      <c r="AG69" s="32">
        <v>0</v>
      </c>
    </row>
    <row r="70" spans="2:33" s="2" customFormat="1" ht="49.5" customHeight="1" x14ac:dyDescent="0.25">
      <c r="B70" s="29" t="s">
        <v>78</v>
      </c>
      <c r="C70" s="27" t="s">
        <v>87</v>
      </c>
      <c r="D70" s="27" t="s">
        <v>142</v>
      </c>
      <c r="E70" s="27" t="s">
        <v>132</v>
      </c>
      <c r="F70" s="28">
        <v>0</v>
      </c>
      <c r="G70" s="31">
        <v>1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B70" s="32">
        <v>0</v>
      </c>
      <c r="AC70" s="32">
        <v>0</v>
      </c>
      <c r="AD70" s="32">
        <v>0</v>
      </c>
      <c r="AE70" s="32">
        <v>0</v>
      </c>
      <c r="AF70" s="32">
        <v>0</v>
      </c>
      <c r="AG70" s="32">
        <v>0</v>
      </c>
    </row>
    <row r="71" spans="2:33" s="2" customFormat="1" ht="49.5" customHeight="1" x14ac:dyDescent="0.25">
      <c r="B71" s="29" t="s">
        <v>78</v>
      </c>
      <c r="C71" s="27" t="s">
        <v>87</v>
      </c>
      <c r="D71" s="27" t="s">
        <v>88</v>
      </c>
      <c r="E71" s="27" t="s">
        <v>133</v>
      </c>
      <c r="F71" s="28">
        <v>0</v>
      </c>
      <c r="G71" s="31">
        <v>3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31">
        <v>1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B71" s="35">
        <v>28</v>
      </c>
      <c r="AC71" s="35">
        <v>4</v>
      </c>
      <c r="AD71" s="32">
        <v>0</v>
      </c>
      <c r="AE71" s="32">
        <v>0</v>
      </c>
      <c r="AF71" s="35">
        <v>1</v>
      </c>
      <c r="AG71" s="35">
        <v>1</v>
      </c>
    </row>
    <row r="72" spans="2:33" s="2" customFormat="1" ht="49.5" customHeight="1" x14ac:dyDescent="0.25">
      <c r="B72" s="29" t="s">
        <v>78</v>
      </c>
      <c r="C72" s="27" t="s">
        <v>87</v>
      </c>
      <c r="D72" s="27" t="s">
        <v>192</v>
      </c>
      <c r="E72" s="27" t="s">
        <v>119</v>
      </c>
      <c r="F72" s="28">
        <v>0</v>
      </c>
      <c r="G72" s="31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31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B72" s="32">
        <v>0</v>
      </c>
      <c r="AC72" s="32">
        <v>0</v>
      </c>
      <c r="AD72" s="32">
        <v>0</v>
      </c>
      <c r="AE72" s="32">
        <v>0</v>
      </c>
      <c r="AF72" s="32">
        <v>0</v>
      </c>
      <c r="AG72" s="32">
        <v>0</v>
      </c>
    </row>
    <row r="73" spans="2:33" s="2" customFormat="1" ht="37.5" customHeight="1" x14ac:dyDescent="0.25">
      <c r="B73" s="30" t="s">
        <v>78</v>
      </c>
      <c r="C73" s="27" t="s">
        <v>89</v>
      </c>
      <c r="D73" s="27" t="s">
        <v>175</v>
      </c>
      <c r="E73" s="27" t="s">
        <v>120</v>
      </c>
      <c r="F73" s="33">
        <v>0</v>
      </c>
      <c r="G73" s="37">
        <v>3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34">
        <v>0</v>
      </c>
      <c r="V73" s="34">
        <v>0</v>
      </c>
      <c r="W73" s="34">
        <v>0</v>
      </c>
      <c r="X73" s="28">
        <v>0</v>
      </c>
      <c r="Y73" s="28">
        <v>0</v>
      </c>
      <c r="Z73" s="28">
        <v>0</v>
      </c>
      <c r="AB73" s="35">
        <v>24</v>
      </c>
      <c r="AC73" s="35">
        <v>1</v>
      </c>
      <c r="AD73" s="35">
        <v>1</v>
      </c>
      <c r="AE73" s="35">
        <v>1</v>
      </c>
      <c r="AF73" s="32">
        <v>0</v>
      </c>
      <c r="AG73" s="35">
        <v>4</v>
      </c>
    </row>
    <row r="74" spans="2:33" s="2" customFormat="1" ht="37.5" customHeight="1" x14ac:dyDescent="0.25">
      <c r="B74" s="30" t="s">
        <v>78</v>
      </c>
      <c r="C74" s="27" t="s">
        <v>89</v>
      </c>
      <c r="D74" s="27" t="s">
        <v>176</v>
      </c>
      <c r="E74" s="27" t="s">
        <v>118</v>
      </c>
      <c r="F74" s="33">
        <v>0</v>
      </c>
      <c r="G74" s="37">
        <v>1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34">
        <v>0</v>
      </c>
      <c r="V74" s="34">
        <v>0</v>
      </c>
      <c r="W74" s="34">
        <v>0</v>
      </c>
      <c r="X74" s="28">
        <v>0</v>
      </c>
      <c r="Y74" s="28">
        <v>0</v>
      </c>
      <c r="Z74" s="28">
        <v>0</v>
      </c>
      <c r="AB74" s="35">
        <v>8</v>
      </c>
      <c r="AC74" s="32">
        <v>0</v>
      </c>
      <c r="AD74" s="35">
        <v>1</v>
      </c>
      <c r="AE74" s="35">
        <v>1</v>
      </c>
      <c r="AF74" s="32">
        <v>0</v>
      </c>
      <c r="AG74" s="35">
        <v>2</v>
      </c>
    </row>
    <row r="75" spans="2:33" s="2" customFormat="1" ht="49.5" customHeight="1" x14ac:dyDescent="0.25">
      <c r="B75" s="29" t="s">
        <v>78</v>
      </c>
      <c r="C75" s="27" t="s">
        <v>90</v>
      </c>
      <c r="D75" s="27" t="s">
        <v>177</v>
      </c>
      <c r="E75" s="27" t="s">
        <v>116</v>
      </c>
      <c r="F75" s="28">
        <v>0</v>
      </c>
      <c r="G75" s="31">
        <v>3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B75" s="35">
        <v>9</v>
      </c>
      <c r="AC75" s="35">
        <v>2</v>
      </c>
      <c r="AD75" s="35">
        <v>1</v>
      </c>
      <c r="AE75" s="35">
        <v>1</v>
      </c>
      <c r="AF75" s="35">
        <v>1</v>
      </c>
      <c r="AG75" s="35">
        <v>2</v>
      </c>
    </row>
    <row r="76" spans="2:33" s="2" customFormat="1" ht="49.5" customHeight="1" x14ac:dyDescent="0.25">
      <c r="B76" s="29" t="s">
        <v>78</v>
      </c>
      <c r="C76" s="27" t="s">
        <v>91</v>
      </c>
      <c r="D76" s="27" t="s">
        <v>166</v>
      </c>
      <c r="E76" s="27" t="s">
        <v>117</v>
      </c>
      <c r="F76" s="28">
        <v>0</v>
      </c>
      <c r="G76" s="31">
        <v>3</v>
      </c>
      <c r="H76" s="28">
        <v>0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B76" s="35">
        <v>11</v>
      </c>
      <c r="AC76" s="35">
        <v>2</v>
      </c>
      <c r="AD76" s="35">
        <v>1</v>
      </c>
      <c r="AE76" s="35">
        <v>1</v>
      </c>
      <c r="AF76" s="32">
        <v>0</v>
      </c>
      <c r="AG76" s="35">
        <v>6</v>
      </c>
    </row>
    <row r="77" spans="2:33" s="2" customFormat="1" ht="49.5" customHeight="1" x14ac:dyDescent="0.25">
      <c r="B77" s="29" t="s">
        <v>78</v>
      </c>
      <c r="C77" s="27" t="s">
        <v>91</v>
      </c>
      <c r="D77" s="27" t="s">
        <v>199</v>
      </c>
      <c r="E77" s="27" t="s">
        <v>116</v>
      </c>
      <c r="F77" s="28">
        <v>0</v>
      </c>
      <c r="G77" s="31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31">
        <v>1</v>
      </c>
      <c r="X77" s="28">
        <v>0</v>
      </c>
      <c r="Y77" s="28">
        <v>0</v>
      </c>
      <c r="Z77" s="28">
        <v>0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32">
        <v>0</v>
      </c>
    </row>
    <row r="78" spans="2:33" s="2" customFormat="1" ht="49.5" customHeight="1" x14ac:dyDescent="0.25">
      <c r="B78" s="29" t="s">
        <v>78</v>
      </c>
      <c r="C78" s="27" t="s">
        <v>91</v>
      </c>
      <c r="D78" s="27" t="s">
        <v>92</v>
      </c>
      <c r="E78" s="27" t="s">
        <v>134</v>
      </c>
      <c r="F78" s="28">
        <v>0</v>
      </c>
      <c r="G78" s="31">
        <v>1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B78" s="35">
        <v>5</v>
      </c>
      <c r="AC78" s="35">
        <v>2</v>
      </c>
      <c r="AD78" s="35">
        <v>1</v>
      </c>
      <c r="AE78" s="35">
        <v>1</v>
      </c>
      <c r="AF78" s="32">
        <v>0</v>
      </c>
      <c r="AG78" s="35">
        <v>1</v>
      </c>
    </row>
    <row r="79" spans="2:33" s="2" customFormat="1" ht="44.25" customHeight="1" x14ac:dyDescent="0.25">
      <c r="B79" s="30" t="s">
        <v>78</v>
      </c>
      <c r="C79" s="27" t="s">
        <v>93</v>
      </c>
      <c r="D79" s="27" t="s">
        <v>167</v>
      </c>
      <c r="E79" s="27" t="s">
        <v>135</v>
      </c>
      <c r="F79" s="28">
        <v>0</v>
      </c>
      <c r="G79" s="36">
        <v>3</v>
      </c>
      <c r="H79" s="31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B79" s="35">
        <v>19</v>
      </c>
      <c r="AC79" s="32">
        <v>0</v>
      </c>
      <c r="AD79" s="35">
        <v>1</v>
      </c>
      <c r="AE79" s="35">
        <v>1</v>
      </c>
      <c r="AF79" s="32">
        <v>0</v>
      </c>
      <c r="AG79" s="35">
        <v>2</v>
      </c>
    </row>
    <row r="80" spans="2:33" s="2" customFormat="1" ht="44.25" customHeight="1" x14ac:dyDescent="0.25">
      <c r="B80" s="30" t="s">
        <v>78</v>
      </c>
      <c r="C80" s="27" t="s">
        <v>93</v>
      </c>
      <c r="D80" s="27" t="s">
        <v>194</v>
      </c>
      <c r="E80" s="27" t="s">
        <v>136</v>
      </c>
      <c r="F80" s="28">
        <v>0</v>
      </c>
      <c r="G80" s="36">
        <v>2</v>
      </c>
      <c r="H80" s="31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B80" s="35">
        <v>16</v>
      </c>
      <c r="AC80" s="32">
        <v>0</v>
      </c>
      <c r="AD80" s="35">
        <v>1</v>
      </c>
      <c r="AE80" s="35">
        <v>1</v>
      </c>
      <c r="AF80" s="32">
        <v>0</v>
      </c>
      <c r="AG80" s="32">
        <v>0</v>
      </c>
    </row>
    <row r="81" spans="2:33" s="2" customFormat="1" ht="44.25" customHeight="1" x14ac:dyDescent="0.25">
      <c r="B81" s="30" t="s">
        <v>78</v>
      </c>
      <c r="C81" s="27" t="s">
        <v>93</v>
      </c>
      <c r="D81" s="27" t="s">
        <v>143</v>
      </c>
      <c r="E81" s="27" t="s">
        <v>122</v>
      </c>
      <c r="F81" s="28">
        <v>0</v>
      </c>
      <c r="G81" s="36">
        <v>3</v>
      </c>
      <c r="H81" s="31">
        <v>0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B81" s="35">
        <v>15</v>
      </c>
      <c r="AC81" s="32">
        <v>0</v>
      </c>
      <c r="AD81" s="35">
        <v>1</v>
      </c>
      <c r="AE81" s="35">
        <v>1</v>
      </c>
      <c r="AF81" s="32">
        <v>0</v>
      </c>
      <c r="AG81" s="35">
        <v>2</v>
      </c>
    </row>
    <row r="82" spans="2:33" s="2" customFormat="1" ht="44.25" customHeight="1" x14ac:dyDescent="0.25">
      <c r="B82" s="30" t="s">
        <v>78</v>
      </c>
      <c r="C82" s="27" t="s">
        <v>93</v>
      </c>
      <c r="D82" s="27" t="s">
        <v>94</v>
      </c>
      <c r="E82" s="27" t="s">
        <v>137</v>
      </c>
      <c r="F82" s="28">
        <v>0</v>
      </c>
      <c r="G82" s="36">
        <v>1</v>
      </c>
      <c r="H82" s="31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B82" s="35">
        <v>22</v>
      </c>
      <c r="AC82" s="35">
        <v>4</v>
      </c>
      <c r="AD82" s="35">
        <v>1</v>
      </c>
      <c r="AE82" s="35">
        <v>1</v>
      </c>
      <c r="AF82" s="32">
        <v>0</v>
      </c>
      <c r="AG82" s="35">
        <v>4</v>
      </c>
    </row>
    <row r="83" spans="2:33" s="2" customFormat="1" ht="49.5" customHeight="1" x14ac:dyDescent="0.25">
      <c r="B83" s="29" t="s">
        <v>78</v>
      </c>
      <c r="C83" s="27" t="s">
        <v>95</v>
      </c>
      <c r="D83" s="27" t="s">
        <v>193</v>
      </c>
      <c r="E83" s="27" t="s">
        <v>138</v>
      </c>
      <c r="F83" s="28">
        <v>0</v>
      </c>
      <c r="G83" s="31">
        <v>5</v>
      </c>
      <c r="H83" s="31">
        <v>1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B83" s="35">
        <v>8</v>
      </c>
      <c r="AC83" s="35">
        <v>2</v>
      </c>
      <c r="AD83" s="35">
        <v>1</v>
      </c>
      <c r="AE83" s="35">
        <v>1</v>
      </c>
      <c r="AF83" s="32">
        <v>0</v>
      </c>
      <c r="AG83" s="32">
        <v>0</v>
      </c>
    </row>
    <row r="84" spans="2:33" s="2" customFormat="1" ht="49.5" customHeight="1" x14ac:dyDescent="0.25">
      <c r="B84" s="29" t="s">
        <v>78</v>
      </c>
      <c r="C84" s="27" t="s">
        <v>95</v>
      </c>
      <c r="D84" s="27" t="s">
        <v>168</v>
      </c>
      <c r="E84" s="27" t="s">
        <v>138</v>
      </c>
      <c r="F84" s="28">
        <v>0</v>
      </c>
      <c r="G84" s="31">
        <v>1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58">
        <f>+AA85*1</f>
        <v>1029073110.9627131</v>
      </c>
      <c r="AB84" s="35">
        <v>12</v>
      </c>
      <c r="AC84" s="32">
        <v>0</v>
      </c>
      <c r="AD84" s="35">
        <v>1</v>
      </c>
      <c r="AE84" s="35">
        <v>1</v>
      </c>
      <c r="AF84" s="32">
        <v>0</v>
      </c>
      <c r="AG84" s="32">
        <v>0</v>
      </c>
    </row>
    <row r="85" spans="2:33" s="2" customFormat="1" ht="49.5" customHeight="1" x14ac:dyDescent="0.25">
      <c r="B85" s="29" t="s">
        <v>78</v>
      </c>
      <c r="C85" s="27" t="s">
        <v>95</v>
      </c>
      <c r="D85" s="27" t="s">
        <v>139</v>
      </c>
      <c r="E85" s="27" t="s">
        <v>197</v>
      </c>
      <c r="F85" s="28">
        <v>0</v>
      </c>
      <c r="G85" s="31">
        <v>2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58">
        <f>+(F86*F97)+(G86*G97)+(H86*H97)+(L86*L97)+(P86*P97)+(U86*U97)+(W86*W97)</f>
        <v>1029073110.9627131</v>
      </c>
      <c r="AB85" s="32">
        <v>0</v>
      </c>
      <c r="AC85" s="32">
        <v>0</v>
      </c>
      <c r="AD85" s="32">
        <v>0</v>
      </c>
      <c r="AE85" s="32">
        <v>0</v>
      </c>
      <c r="AF85" s="32">
        <v>0</v>
      </c>
      <c r="AG85" s="32">
        <v>0</v>
      </c>
    </row>
    <row r="86" spans="2:33" s="53" customFormat="1" ht="25.5" customHeight="1" x14ac:dyDescent="0.25">
      <c r="B86" s="165" t="s">
        <v>96</v>
      </c>
      <c r="C86" s="165"/>
      <c r="D86" s="165"/>
      <c r="E86" s="165"/>
      <c r="F86" s="85">
        <f t="shared" ref="F86:Z86" si="10">SUM(F58:F85)</f>
        <v>3</v>
      </c>
      <c r="G86" s="85">
        <f t="shared" si="10"/>
        <v>62</v>
      </c>
      <c r="H86" s="85">
        <f t="shared" si="10"/>
        <v>2</v>
      </c>
      <c r="I86" s="85">
        <f t="shared" si="10"/>
        <v>0</v>
      </c>
      <c r="J86" s="85">
        <f t="shared" si="10"/>
        <v>0</v>
      </c>
      <c r="K86" s="85">
        <f t="shared" si="10"/>
        <v>0</v>
      </c>
      <c r="L86" s="85">
        <f t="shared" si="10"/>
        <v>1</v>
      </c>
      <c r="M86" s="85">
        <f t="shared" si="10"/>
        <v>0</v>
      </c>
      <c r="N86" s="85">
        <f t="shared" si="10"/>
        <v>0</v>
      </c>
      <c r="O86" s="85">
        <f t="shared" si="10"/>
        <v>0</v>
      </c>
      <c r="P86" s="85">
        <f t="shared" si="10"/>
        <v>2</v>
      </c>
      <c r="Q86" s="85">
        <f t="shared" si="10"/>
        <v>0</v>
      </c>
      <c r="R86" s="85">
        <f t="shared" si="10"/>
        <v>0</v>
      </c>
      <c r="S86" s="85">
        <f t="shared" si="10"/>
        <v>0</v>
      </c>
      <c r="T86" s="85">
        <f t="shared" si="10"/>
        <v>0</v>
      </c>
      <c r="U86" s="85">
        <f t="shared" si="10"/>
        <v>1</v>
      </c>
      <c r="V86" s="85">
        <f t="shared" si="10"/>
        <v>0</v>
      </c>
      <c r="W86" s="85">
        <f t="shared" si="10"/>
        <v>1</v>
      </c>
      <c r="X86" s="85">
        <f t="shared" si="10"/>
        <v>0</v>
      </c>
      <c r="Y86" s="85">
        <f t="shared" si="10"/>
        <v>0</v>
      </c>
      <c r="Z86" s="85">
        <f t="shared" si="10"/>
        <v>0</v>
      </c>
      <c r="AA86" s="86">
        <f>SUM(F86:Z86)</f>
        <v>72</v>
      </c>
      <c r="AB86" s="89">
        <f t="shared" ref="AB86:AG86" si="11">SUM(AB58:AB85)</f>
        <v>377</v>
      </c>
      <c r="AC86" s="89">
        <f t="shared" si="11"/>
        <v>34</v>
      </c>
      <c r="AD86" s="89">
        <f t="shared" si="11"/>
        <v>23</v>
      </c>
      <c r="AE86" s="89">
        <f t="shared" si="11"/>
        <v>23</v>
      </c>
      <c r="AF86" s="89">
        <f t="shared" si="11"/>
        <v>10</v>
      </c>
      <c r="AG86" s="89">
        <f t="shared" si="11"/>
        <v>41</v>
      </c>
    </row>
    <row r="87" spans="2:33" s="54" customFormat="1" ht="6" customHeight="1" x14ac:dyDescent="0.25">
      <c r="B87" s="55"/>
      <c r="C87" s="55"/>
      <c r="D87" s="55"/>
      <c r="E87" s="55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7"/>
    </row>
    <row r="88" spans="2:33" s="4" customFormat="1" ht="35.25" customHeight="1" x14ac:dyDescent="0.25">
      <c r="B88" s="3"/>
      <c r="C88" s="3"/>
      <c r="D88" s="3"/>
      <c r="E88" s="90" t="s">
        <v>97</v>
      </c>
      <c r="F88" s="91">
        <f t="shared" ref="F88:Z88" si="12">+F12+F18+F33+F49+F57+F86</f>
        <v>9</v>
      </c>
      <c r="G88" s="91">
        <f t="shared" si="12"/>
        <v>165</v>
      </c>
      <c r="H88" s="91">
        <f t="shared" si="12"/>
        <v>7</v>
      </c>
      <c r="I88" s="91">
        <f t="shared" si="12"/>
        <v>0</v>
      </c>
      <c r="J88" s="91">
        <f t="shared" si="12"/>
        <v>0</v>
      </c>
      <c r="K88" s="91">
        <f t="shared" si="12"/>
        <v>0</v>
      </c>
      <c r="L88" s="91">
        <f t="shared" si="12"/>
        <v>2</v>
      </c>
      <c r="M88" s="91">
        <f t="shared" si="12"/>
        <v>1</v>
      </c>
      <c r="N88" s="91">
        <f t="shared" si="12"/>
        <v>0</v>
      </c>
      <c r="O88" s="91">
        <f t="shared" si="12"/>
        <v>1</v>
      </c>
      <c r="P88" s="91">
        <f t="shared" si="12"/>
        <v>5</v>
      </c>
      <c r="Q88" s="91">
        <f t="shared" si="12"/>
        <v>4</v>
      </c>
      <c r="R88" s="91">
        <f t="shared" si="12"/>
        <v>0</v>
      </c>
      <c r="S88" s="91">
        <f t="shared" si="12"/>
        <v>0</v>
      </c>
      <c r="T88" s="91">
        <f t="shared" si="12"/>
        <v>0</v>
      </c>
      <c r="U88" s="91">
        <f t="shared" si="12"/>
        <v>1</v>
      </c>
      <c r="V88" s="91">
        <f t="shared" si="12"/>
        <v>1</v>
      </c>
      <c r="W88" s="91">
        <f t="shared" si="12"/>
        <v>1</v>
      </c>
      <c r="X88" s="91">
        <f t="shared" si="12"/>
        <v>1</v>
      </c>
      <c r="Y88" s="91">
        <f t="shared" si="12"/>
        <v>2</v>
      </c>
      <c r="Z88" s="91">
        <f t="shared" si="12"/>
        <v>0</v>
      </c>
      <c r="AA88" s="51"/>
      <c r="AB88" s="92">
        <f t="shared" ref="AB88:AG88" si="13">+AB12+AB18+AB33+AB49+AB57+AB86</f>
        <v>888</v>
      </c>
      <c r="AC88" s="92">
        <f t="shared" si="13"/>
        <v>99</v>
      </c>
      <c r="AD88" s="92">
        <f t="shared" si="13"/>
        <v>63</v>
      </c>
      <c r="AE88" s="92">
        <f t="shared" si="13"/>
        <v>61</v>
      </c>
      <c r="AF88" s="92">
        <f t="shared" si="13"/>
        <v>17</v>
      </c>
      <c r="AG88" s="92">
        <f t="shared" si="13"/>
        <v>94</v>
      </c>
    </row>
    <row r="89" spans="2:33" s="4" customFormat="1" ht="20.25" customHeight="1" x14ac:dyDescent="0.25">
      <c r="B89" s="3"/>
      <c r="C89" s="5"/>
      <c r="D89" s="5"/>
      <c r="E89" s="65" t="s">
        <v>98</v>
      </c>
      <c r="F89" s="66">
        <v>3</v>
      </c>
      <c r="G89" s="66">
        <v>3</v>
      </c>
      <c r="H89" s="66">
        <v>3</v>
      </c>
      <c r="I89" s="66">
        <v>3</v>
      </c>
      <c r="J89" s="66">
        <v>3</v>
      </c>
      <c r="K89" s="66">
        <v>3</v>
      </c>
      <c r="L89" s="66">
        <v>2</v>
      </c>
      <c r="M89" s="66">
        <v>2</v>
      </c>
      <c r="N89" s="66">
        <v>2</v>
      </c>
      <c r="O89" s="66">
        <v>1.5</v>
      </c>
      <c r="P89" s="67">
        <v>1.5</v>
      </c>
      <c r="Q89" s="67">
        <v>1.5</v>
      </c>
      <c r="R89" s="66">
        <v>1.5</v>
      </c>
      <c r="S89" s="66">
        <v>1.5</v>
      </c>
      <c r="T89" s="66">
        <v>1.5</v>
      </c>
      <c r="U89" s="66">
        <v>1</v>
      </c>
      <c r="V89" s="66">
        <v>1</v>
      </c>
      <c r="W89" s="66">
        <v>1</v>
      </c>
      <c r="X89" s="66">
        <v>1</v>
      </c>
      <c r="Y89" s="66">
        <v>1</v>
      </c>
      <c r="Z89" s="66">
        <v>1</v>
      </c>
      <c r="AA89" s="52"/>
    </row>
    <row r="90" spans="2:33" s="4" customFormat="1" ht="20.25" customHeight="1" x14ac:dyDescent="0.25">
      <c r="B90" s="3"/>
      <c r="C90" s="5"/>
      <c r="D90" s="5"/>
      <c r="E90" s="65" t="s">
        <v>99</v>
      </c>
      <c r="F90" s="66">
        <f>F89*F88</f>
        <v>27</v>
      </c>
      <c r="G90" s="66">
        <f t="shared" ref="G90:Z90" si="14">G89*G88</f>
        <v>495</v>
      </c>
      <c r="H90" s="66">
        <f t="shared" si="14"/>
        <v>21</v>
      </c>
      <c r="I90" s="66">
        <f t="shared" si="14"/>
        <v>0</v>
      </c>
      <c r="J90" s="66">
        <f t="shared" si="14"/>
        <v>0</v>
      </c>
      <c r="K90" s="66">
        <f t="shared" si="14"/>
        <v>0</v>
      </c>
      <c r="L90" s="66">
        <f t="shared" si="14"/>
        <v>4</v>
      </c>
      <c r="M90" s="66">
        <f t="shared" si="14"/>
        <v>2</v>
      </c>
      <c r="N90" s="66">
        <f t="shared" si="14"/>
        <v>0</v>
      </c>
      <c r="O90" s="66">
        <f t="shared" si="14"/>
        <v>1.5</v>
      </c>
      <c r="P90" s="67">
        <f t="shared" si="14"/>
        <v>7.5</v>
      </c>
      <c r="Q90" s="67">
        <f t="shared" si="14"/>
        <v>6</v>
      </c>
      <c r="R90" s="67">
        <f t="shared" si="14"/>
        <v>0</v>
      </c>
      <c r="S90" s="67">
        <f t="shared" si="14"/>
        <v>0</v>
      </c>
      <c r="T90" s="67">
        <f t="shared" si="14"/>
        <v>0</v>
      </c>
      <c r="U90" s="66">
        <f t="shared" si="14"/>
        <v>1</v>
      </c>
      <c r="V90" s="66">
        <f t="shared" si="14"/>
        <v>1</v>
      </c>
      <c r="W90" s="66">
        <f t="shared" si="14"/>
        <v>1</v>
      </c>
      <c r="X90" s="66">
        <f t="shared" si="14"/>
        <v>1</v>
      </c>
      <c r="Y90" s="66">
        <f t="shared" si="14"/>
        <v>2</v>
      </c>
      <c r="Z90" s="66">
        <f t="shared" si="14"/>
        <v>0</v>
      </c>
      <c r="AA90" s="51"/>
    </row>
    <row r="91" spans="2:33" s="4" customFormat="1" ht="35.25" customHeight="1" x14ac:dyDescent="0.25">
      <c r="B91" s="3"/>
      <c r="C91" s="5"/>
      <c r="D91" s="5"/>
      <c r="E91" s="65" t="s">
        <v>100</v>
      </c>
      <c r="F91" s="68">
        <v>3000</v>
      </c>
      <c r="G91" s="68">
        <f>$F$91</f>
        <v>3000</v>
      </c>
      <c r="H91" s="68">
        <f t="shared" ref="H91:Z91" si="15">$F$91</f>
        <v>3000</v>
      </c>
      <c r="I91" s="68">
        <f t="shared" si="15"/>
        <v>3000</v>
      </c>
      <c r="J91" s="68">
        <f t="shared" si="15"/>
        <v>3000</v>
      </c>
      <c r="K91" s="68">
        <f t="shared" si="15"/>
        <v>3000</v>
      </c>
      <c r="L91" s="68">
        <f t="shared" si="15"/>
        <v>3000</v>
      </c>
      <c r="M91" s="68">
        <f t="shared" si="15"/>
        <v>3000</v>
      </c>
      <c r="N91" s="68">
        <f t="shared" si="15"/>
        <v>3000</v>
      </c>
      <c r="O91" s="68">
        <f t="shared" si="15"/>
        <v>3000</v>
      </c>
      <c r="P91" s="68">
        <f t="shared" si="15"/>
        <v>3000</v>
      </c>
      <c r="Q91" s="68">
        <f t="shared" si="15"/>
        <v>3000</v>
      </c>
      <c r="R91" s="68">
        <f t="shared" si="15"/>
        <v>3000</v>
      </c>
      <c r="S91" s="68">
        <f t="shared" si="15"/>
        <v>3000</v>
      </c>
      <c r="T91" s="68">
        <f t="shared" si="15"/>
        <v>3000</v>
      </c>
      <c r="U91" s="68">
        <f t="shared" si="15"/>
        <v>3000</v>
      </c>
      <c r="V91" s="68">
        <f t="shared" si="15"/>
        <v>3000</v>
      </c>
      <c r="W91" s="68">
        <f t="shared" si="15"/>
        <v>3000</v>
      </c>
      <c r="X91" s="68">
        <f t="shared" si="15"/>
        <v>3000</v>
      </c>
      <c r="Y91" s="68">
        <f t="shared" si="15"/>
        <v>3000</v>
      </c>
      <c r="Z91" s="68">
        <f t="shared" si="15"/>
        <v>3000</v>
      </c>
      <c r="AA91" s="6"/>
    </row>
    <row r="92" spans="2:33" s="4" customFormat="1" ht="37.5" customHeight="1" x14ac:dyDescent="0.25">
      <c r="B92" s="3"/>
      <c r="C92" s="5"/>
      <c r="D92" s="5"/>
      <c r="E92" s="69" t="s">
        <v>101</v>
      </c>
      <c r="F92" s="70">
        <f>F91*F90</f>
        <v>81000</v>
      </c>
      <c r="G92" s="70">
        <f t="shared" ref="G92:Z92" si="16">G91*G90</f>
        <v>1485000</v>
      </c>
      <c r="H92" s="70">
        <f t="shared" si="16"/>
        <v>63000</v>
      </c>
      <c r="I92" s="70">
        <f t="shared" si="16"/>
        <v>0</v>
      </c>
      <c r="J92" s="70">
        <f t="shared" si="16"/>
        <v>0</v>
      </c>
      <c r="K92" s="70">
        <f t="shared" si="16"/>
        <v>0</v>
      </c>
      <c r="L92" s="70">
        <f t="shared" si="16"/>
        <v>12000</v>
      </c>
      <c r="M92" s="70">
        <f t="shared" si="16"/>
        <v>6000</v>
      </c>
      <c r="N92" s="70">
        <f t="shared" si="16"/>
        <v>0</v>
      </c>
      <c r="O92" s="70">
        <f t="shared" si="16"/>
        <v>4500</v>
      </c>
      <c r="P92" s="70">
        <f t="shared" si="16"/>
        <v>22500</v>
      </c>
      <c r="Q92" s="70">
        <f t="shared" si="16"/>
        <v>18000</v>
      </c>
      <c r="R92" s="70">
        <f t="shared" si="16"/>
        <v>0</v>
      </c>
      <c r="S92" s="70">
        <f t="shared" si="16"/>
        <v>0</v>
      </c>
      <c r="T92" s="70">
        <f t="shared" si="16"/>
        <v>0</v>
      </c>
      <c r="U92" s="70">
        <f t="shared" si="16"/>
        <v>3000</v>
      </c>
      <c r="V92" s="70">
        <f t="shared" si="16"/>
        <v>3000</v>
      </c>
      <c r="W92" s="70">
        <f t="shared" si="16"/>
        <v>3000</v>
      </c>
      <c r="X92" s="70">
        <f t="shared" si="16"/>
        <v>3000</v>
      </c>
      <c r="Y92" s="70">
        <f t="shared" si="16"/>
        <v>6000</v>
      </c>
      <c r="Z92" s="70">
        <f t="shared" si="16"/>
        <v>0</v>
      </c>
      <c r="AA92" s="50"/>
    </row>
    <row r="94" spans="2:33" ht="20.25" customHeight="1" x14ac:dyDescent="0.25">
      <c r="C94" s="12"/>
      <c r="D94" s="12"/>
      <c r="E94" s="47" t="s">
        <v>102</v>
      </c>
      <c r="F94" s="45">
        <f>((9.53*1423500)+(500*3))</f>
        <v>13567455</v>
      </c>
      <c r="G94" s="45">
        <f>(9.53*1423500+(500*3))</f>
        <v>13567455</v>
      </c>
      <c r="H94" s="45">
        <f>(9.53*1423500+(500*3))</f>
        <v>13567455</v>
      </c>
      <c r="I94" s="45">
        <f>(9.29*1423500+(500*3))</f>
        <v>13225814.999999998</v>
      </c>
      <c r="J94" s="45">
        <f>(9.29*1423500+(500*3))/30*20</f>
        <v>8817209.9999999981</v>
      </c>
      <c r="K94" s="45">
        <f>(9.29*1423500+(500*3))/30*24</f>
        <v>10580651.999999998</v>
      </c>
      <c r="L94" s="45">
        <f>(((9.53*1423500+(500*3))*55.97%)+((9.53*1423500+(500*3))*44.03%/9*1))</f>
        <v>8257454.6119999997</v>
      </c>
      <c r="M94" s="45">
        <f>(((9.53*1423500+(500*3))*55.97%)+((9.53*1423500+(500*3))*44.03%/9*1))/30*20</f>
        <v>5504969.7413333328</v>
      </c>
      <c r="N94" s="45">
        <f>(((9.29*1423500+(500*3))*55.97%)+((9.29*1423500+(500*3))*44.03%/9*1))/30*24</f>
        <v>6439619.9327999987</v>
      </c>
      <c r="O94" s="45">
        <f>((9.53*1423500+(500*3))*55.97%/15*12)</f>
        <v>6074963.650799999</v>
      </c>
      <c r="P94" s="45">
        <f>((9.53*1423500+(500*3))*55.97%/15*12)/30*20</f>
        <v>4049975.7671999997</v>
      </c>
      <c r="Q94" s="45">
        <f>((9.53*1423500+(500*3))*55.97%/15*12)/30*24</f>
        <v>4859970.9206399992</v>
      </c>
      <c r="R94" s="45">
        <f>(((9.29*1423500+(500*3))*55.97%/15*3)+((9.29*1423500+(500*3))*44.03%/9*9))</f>
        <v>7303824.0755999992</v>
      </c>
      <c r="S94" s="45">
        <f>((((9.29*1423500+(500*3))*55.97%/15*3)+((9.29*1423500+(500*3))*44.03%/9*9))/30)*24</f>
        <v>5843059.2604799997</v>
      </c>
      <c r="T94" s="45">
        <f>(((9.29*1423500+(500*3))*55.97%/15*3)+((9.29*1423500+(500*3))*44.03%/9*9))</f>
        <v>7303824.0755999992</v>
      </c>
      <c r="U94" s="45">
        <f>((9.53*1423500+(500*3))*44.03%/9*8)</f>
        <v>5310000.3880000003</v>
      </c>
      <c r="V94" s="45">
        <f>((9.53*1423500+(500*3))*44.03%/9*8)</f>
        <v>5310000.3880000003</v>
      </c>
      <c r="W94" s="45">
        <f>(9.53*1423500+(500*3))*44.03%/9*8/30*20</f>
        <v>3540000.2586666672</v>
      </c>
      <c r="X94" s="45">
        <f>(9.53*1423500+(500*3))*55.97%/15*8/30*24</f>
        <v>3239980.6137599992</v>
      </c>
      <c r="Y94" s="45">
        <f>(9.53*1423500+(500*3))*55.97%/15*8/30*20</f>
        <v>2699983.8447999996</v>
      </c>
      <c r="Z94" s="45">
        <f>((9.53*1423500+(500*3))*55.97%/15*8)</f>
        <v>4049975.7671999997</v>
      </c>
      <c r="AB94" s="45">
        <v>11227</v>
      </c>
      <c r="AC94" s="45">
        <v>43635</v>
      </c>
      <c r="AD94" s="45">
        <v>55898</v>
      </c>
      <c r="AE94" s="45">
        <v>40588</v>
      </c>
      <c r="AF94" s="45">
        <v>127990</v>
      </c>
      <c r="AG94" s="45">
        <v>43069</v>
      </c>
    </row>
    <row r="95" spans="2:33" ht="20.25" customHeight="1" x14ac:dyDescent="0.25">
      <c r="C95" s="12"/>
      <c r="D95" s="12"/>
      <c r="E95" s="47" t="s">
        <v>103</v>
      </c>
      <c r="F95" s="45">
        <f>+F94*0.1</f>
        <v>1356745.5</v>
      </c>
      <c r="G95" s="45">
        <f>+G94*0.08</f>
        <v>1085396.3999999999</v>
      </c>
      <c r="H95" s="45">
        <f t="shared" ref="H95:Z95" si="17">+H94*0.08</f>
        <v>1085396.3999999999</v>
      </c>
      <c r="I95" s="45">
        <f>+I94*0.11</f>
        <v>1454839.65</v>
      </c>
      <c r="J95" s="45">
        <f t="shared" si="17"/>
        <v>705376.79999999981</v>
      </c>
      <c r="K95" s="45">
        <f t="shared" si="17"/>
        <v>846452.15999999992</v>
      </c>
      <c r="L95" s="45">
        <f t="shared" si="17"/>
        <v>660596.36895999999</v>
      </c>
      <c r="M95" s="45">
        <f t="shared" si="17"/>
        <v>440397.57930666662</v>
      </c>
      <c r="N95" s="45">
        <f t="shared" si="17"/>
        <v>515169.5946239999</v>
      </c>
      <c r="O95" s="45">
        <f t="shared" si="17"/>
        <v>485997.09206399991</v>
      </c>
      <c r="P95" s="45">
        <f t="shared" si="17"/>
        <v>323998.061376</v>
      </c>
      <c r="Q95" s="45">
        <f t="shared" si="17"/>
        <v>388797.67365119996</v>
      </c>
      <c r="R95" s="45">
        <f t="shared" si="17"/>
        <v>584305.92604799999</v>
      </c>
      <c r="S95" s="45">
        <f t="shared" si="17"/>
        <v>467444.74083839997</v>
      </c>
      <c r="T95" s="45">
        <f>+T94*0.1</f>
        <v>730382.40755999996</v>
      </c>
      <c r="U95" s="45">
        <f>+U94*0.1</f>
        <v>531000.0388000001</v>
      </c>
      <c r="V95" s="45">
        <f t="shared" si="17"/>
        <v>424800.03104000003</v>
      </c>
      <c r="W95" s="45">
        <f t="shared" si="17"/>
        <v>283200.02069333335</v>
      </c>
      <c r="X95" s="45">
        <f t="shared" si="17"/>
        <v>259198.44910079995</v>
      </c>
      <c r="Y95" s="45">
        <f t="shared" si="17"/>
        <v>215998.70758399996</v>
      </c>
      <c r="Z95" s="45">
        <f t="shared" si="17"/>
        <v>323998.061376</v>
      </c>
      <c r="AB95" s="45">
        <v>0</v>
      </c>
      <c r="AC95" s="45">
        <v>0</v>
      </c>
      <c r="AD95" s="45">
        <v>0</v>
      </c>
      <c r="AE95" s="45">
        <v>0</v>
      </c>
      <c r="AF95" s="45">
        <v>0</v>
      </c>
      <c r="AG95" s="45">
        <v>0</v>
      </c>
    </row>
    <row r="96" spans="2:33" ht="20.25" customHeight="1" x14ac:dyDescent="0.25">
      <c r="C96" s="12"/>
      <c r="D96" s="12"/>
      <c r="E96" s="47" t="s">
        <v>104</v>
      </c>
      <c r="F96" s="45">
        <f>+(F94+F95)*0.019</f>
        <v>283559.80949999997</v>
      </c>
      <c r="G96" s="45">
        <f t="shared" ref="G96:Z96" si="18">+(G94+G95)*0.019</f>
        <v>278404.17660000001</v>
      </c>
      <c r="H96" s="45">
        <f t="shared" si="18"/>
        <v>278404.17660000001</v>
      </c>
      <c r="I96" s="45">
        <f t="shared" si="18"/>
        <v>278932.43834999995</v>
      </c>
      <c r="J96" s="45">
        <f t="shared" si="18"/>
        <v>180929.14919999993</v>
      </c>
      <c r="K96" s="45">
        <f t="shared" si="18"/>
        <v>217114.97903999998</v>
      </c>
      <c r="L96" s="45">
        <f t="shared" si="18"/>
        <v>169442.96863824001</v>
      </c>
      <c r="M96" s="45">
        <f t="shared" si="18"/>
        <v>112961.97909215999</v>
      </c>
      <c r="N96" s="45">
        <f t="shared" si="18"/>
        <v>132141.00102105597</v>
      </c>
      <c r="O96" s="45">
        <f t="shared" si="18"/>
        <v>124658.25411441598</v>
      </c>
      <c r="P96" s="45">
        <f t="shared" si="18"/>
        <v>83105.502742943994</v>
      </c>
      <c r="Q96" s="45">
        <f t="shared" si="18"/>
        <v>99726.603291532781</v>
      </c>
      <c r="R96" s="45">
        <f t="shared" si="18"/>
        <v>149874.470031312</v>
      </c>
      <c r="S96" s="45">
        <f t="shared" si="18"/>
        <v>119899.5760250496</v>
      </c>
      <c r="T96" s="45">
        <f t="shared" si="18"/>
        <v>152649.92318003997</v>
      </c>
      <c r="U96" s="45">
        <f t="shared" si="18"/>
        <v>110979.0081092</v>
      </c>
      <c r="V96" s="45">
        <f t="shared" si="18"/>
        <v>108961.20796176</v>
      </c>
      <c r="W96" s="45">
        <f t="shared" si="18"/>
        <v>72640.805307840012</v>
      </c>
      <c r="X96" s="45">
        <f t="shared" si="18"/>
        <v>66484.402194355178</v>
      </c>
      <c r="Y96" s="45">
        <f t="shared" si="18"/>
        <v>55403.668495295984</v>
      </c>
      <c r="Z96" s="45">
        <f t="shared" si="18"/>
        <v>83105.502742943994</v>
      </c>
      <c r="AB96" s="45">
        <f>+AB94*0.19</f>
        <v>2133.13</v>
      </c>
      <c r="AC96" s="45">
        <f t="shared" ref="AC96:AG96" si="19">+AC94*0.19</f>
        <v>8290.65</v>
      </c>
      <c r="AD96" s="45">
        <f t="shared" si="19"/>
        <v>10620.62</v>
      </c>
      <c r="AE96" s="45">
        <f t="shared" si="19"/>
        <v>7711.72</v>
      </c>
      <c r="AF96" s="45">
        <f t="shared" si="19"/>
        <v>24318.1</v>
      </c>
      <c r="AG96" s="45">
        <f t="shared" si="19"/>
        <v>8183.11</v>
      </c>
    </row>
    <row r="97" spans="2:33" ht="20.25" customHeight="1" x14ac:dyDescent="0.25">
      <c r="C97" s="12"/>
      <c r="D97" s="12"/>
      <c r="E97" s="48" t="s">
        <v>105</v>
      </c>
      <c r="F97" s="49">
        <f>+F94+F95+F96</f>
        <v>15207760.3095</v>
      </c>
      <c r="G97" s="49">
        <f>+G94+G95+G96</f>
        <v>14931255.5766</v>
      </c>
      <c r="H97" s="49">
        <f t="shared" ref="H97:Z97" si="20">+H94+H95+H96</f>
        <v>14931255.5766</v>
      </c>
      <c r="I97" s="49">
        <f t="shared" si="20"/>
        <v>14959587.088349998</v>
      </c>
      <c r="J97" s="49">
        <f t="shared" si="20"/>
        <v>9703515.9491999969</v>
      </c>
      <c r="K97" s="49">
        <f t="shared" si="20"/>
        <v>11644219.139039999</v>
      </c>
      <c r="L97" s="49">
        <f>+L94+L95+L96</f>
        <v>9087493.9495982397</v>
      </c>
      <c r="M97" s="49">
        <f t="shared" si="20"/>
        <v>6058329.2997321598</v>
      </c>
      <c r="N97" s="49">
        <f t="shared" si="20"/>
        <v>7086930.5284450538</v>
      </c>
      <c r="O97" s="49">
        <f t="shared" si="20"/>
        <v>6685618.9969784152</v>
      </c>
      <c r="P97" s="49">
        <f t="shared" si="20"/>
        <v>4457079.3313189438</v>
      </c>
      <c r="Q97" s="49">
        <f t="shared" si="20"/>
        <v>5348495.197582732</v>
      </c>
      <c r="R97" s="49">
        <f t="shared" si="20"/>
        <v>8038004.4716793112</v>
      </c>
      <c r="S97" s="49">
        <f t="shared" si="20"/>
        <v>6430403.577343449</v>
      </c>
      <c r="T97" s="49">
        <f t="shared" si="20"/>
        <v>8186856.4063400393</v>
      </c>
      <c r="U97" s="49">
        <f t="shared" si="20"/>
        <v>5951979.4349092003</v>
      </c>
      <c r="V97" s="49">
        <f t="shared" si="20"/>
        <v>5843761.6270017605</v>
      </c>
      <c r="W97" s="49">
        <f t="shared" si="20"/>
        <v>3895841.0846678405</v>
      </c>
      <c r="X97" s="49">
        <f t="shared" si="20"/>
        <v>3565663.4650551542</v>
      </c>
      <c r="Y97" s="49">
        <f t="shared" si="20"/>
        <v>2971386.2208792954</v>
      </c>
      <c r="Z97" s="49">
        <f t="shared" si="20"/>
        <v>4457079.3313189438</v>
      </c>
      <c r="AB97" s="44">
        <f>+AB94+AB96</f>
        <v>13360.130000000001</v>
      </c>
      <c r="AC97" s="44">
        <f t="shared" ref="AC97:AG97" si="21">+AC94+AC96</f>
        <v>51925.65</v>
      </c>
      <c r="AD97" s="44">
        <f t="shared" si="21"/>
        <v>66518.62</v>
      </c>
      <c r="AE97" s="44">
        <f t="shared" si="21"/>
        <v>48299.72</v>
      </c>
      <c r="AF97" s="44">
        <f t="shared" si="21"/>
        <v>152308.1</v>
      </c>
      <c r="AG97" s="44">
        <f t="shared" si="21"/>
        <v>51252.11</v>
      </c>
    </row>
    <row r="99" spans="2:33" ht="18" customHeight="1" x14ac:dyDescent="0.25">
      <c r="C99" s="12"/>
      <c r="D99" s="12"/>
      <c r="E99" s="74" t="s">
        <v>106</v>
      </c>
      <c r="F99" s="75">
        <f>+F88*(F$94+F$95)</f>
        <v>134317804.5</v>
      </c>
      <c r="G99" s="75">
        <f>+(G88)*(G$94+G$95)</f>
        <v>2417720481</v>
      </c>
      <c r="H99" s="75">
        <f>+H88*(H$94+H$95)</f>
        <v>102569959.8</v>
      </c>
      <c r="I99" s="75">
        <f t="shared" ref="I99:Z99" si="22">+I88*(I$94+I$95)</f>
        <v>0</v>
      </c>
      <c r="J99" s="75">
        <f t="shared" si="22"/>
        <v>0</v>
      </c>
      <c r="K99" s="75">
        <f t="shared" si="22"/>
        <v>0</v>
      </c>
      <c r="L99" s="75">
        <f t="shared" si="22"/>
        <v>17836101.961920001</v>
      </c>
      <c r="M99" s="75">
        <f>+M88*(M$94+M$95)</f>
        <v>5945367.3206399996</v>
      </c>
      <c r="N99" s="75">
        <f t="shared" si="22"/>
        <v>0</v>
      </c>
      <c r="O99" s="75">
        <f t="shared" si="22"/>
        <v>6560960.7428639987</v>
      </c>
      <c r="P99" s="75">
        <f t="shared" si="22"/>
        <v>21869869.142879996</v>
      </c>
      <c r="Q99" s="75">
        <f t="shared" si="22"/>
        <v>20995074.377164796</v>
      </c>
      <c r="R99" s="75">
        <f t="shared" si="22"/>
        <v>0</v>
      </c>
      <c r="S99" s="75">
        <f t="shared" si="22"/>
        <v>0</v>
      </c>
      <c r="T99" s="75">
        <f t="shared" si="22"/>
        <v>0</v>
      </c>
      <c r="U99" s="75">
        <f t="shared" si="22"/>
        <v>5841000.4268000005</v>
      </c>
      <c r="V99" s="75">
        <f t="shared" si="22"/>
        <v>5734800.4190400001</v>
      </c>
      <c r="W99" s="75">
        <f t="shared" si="22"/>
        <v>3823200.2793600005</v>
      </c>
      <c r="X99" s="75">
        <f t="shared" si="22"/>
        <v>3499179.062860799</v>
      </c>
      <c r="Y99" s="75">
        <f t="shared" si="22"/>
        <v>5831965.1047679987</v>
      </c>
      <c r="Z99" s="75">
        <f t="shared" si="22"/>
        <v>0</v>
      </c>
      <c r="AA99" s="10"/>
      <c r="AB99" s="76">
        <f>+AB88*(AB94+AB95)</f>
        <v>9969576</v>
      </c>
      <c r="AC99" s="76">
        <f t="shared" ref="AC99:AG99" si="23">+AC88*(AC94+AC95)</f>
        <v>4319865</v>
      </c>
      <c r="AD99" s="76">
        <f t="shared" si="23"/>
        <v>3521574</v>
      </c>
      <c r="AE99" s="76">
        <f t="shared" si="23"/>
        <v>2475868</v>
      </c>
      <c r="AF99" s="76">
        <f t="shared" si="23"/>
        <v>2175830</v>
      </c>
      <c r="AG99" s="76">
        <f t="shared" si="23"/>
        <v>4048486</v>
      </c>
    </row>
    <row r="100" spans="2:33" s="12" customFormat="1" ht="18" customHeight="1" x14ac:dyDescent="0.25">
      <c r="E100" s="74" t="s">
        <v>107</v>
      </c>
      <c r="F100" s="75">
        <f>(F$96*F88)</f>
        <v>2552038.2854999998</v>
      </c>
      <c r="G100" s="75">
        <f>(G$96*(G88))</f>
        <v>45936689.138999999</v>
      </c>
      <c r="H100" s="75">
        <f t="shared" ref="H100:Z100" si="24">(H$96*H88)</f>
        <v>1948829.2362000002</v>
      </c>
      <c r="I100" s="75">
        <f t="shared" si="24"/>
        <v>0</v>
      </c>
      <c r="J100" s="75">
        <f t="shared" si="24"/>
        <v>0</v>
      </c>
      <c r="K100" s="75">
        <f t="shared" si="24"/>
        <v>0</v>
      </c>
      <c r="L100" s="75">
        <f t="shared" si="24"/>
        <v>338885.93727648002</v>
      </c>
      <c r="M100" s="75">
        <f t="shared" si="24"/>
        <v>112961.97909215999</v>
      </c>
      <c r="N100" s="75">
        <f t="shared" si="24"/>
        <v>0</v>
      </c>
      <c r="O100" s="75">
        <f t="shared" si="24"/>
        <v>124658.25411441598</v>
      </c>
      <c r="P100" s="75">
        <f t="shared" si="24"/>
        <v>415527.51371471997</v>
      </c>
      <c r="Q100" s="75">
        <f t="shared" si="24"/>
        <v>398906.41316613113</v>
      </c>
      <c r="R100" s="75">
        <f t="shared" si="24"/>
        <v>0</v>
      </c>
      <c r="S100" s="75">
        <f t="shared" si="24"/>
        <v>0</v>
      </c>
      <c r="T100" s="75">
        <f t="shared" si="24"/>
        <v>0</v>
      </c>
      <c r="U100" s="75">
        <f t="shared" si="24"/>
        <v>110979.0081092</v>
      </c>
      <c r="V100" s="75">
        <f t="shared" si="24"/>
        <v>108961.20796176</v>
      </c>
      <c r="W100" s="75">
        <f t="shared" si="24"/>
        <v>72640.805307840012</v>
      </c>
      <c r="X100" s="75">
        <f t="shared" si="24"/>
        <v>66484.402194355178</v>
      </c>
      <c r="Y100" s="75">
        <f t="shared" si="24"/>
        <v>110807.33699059197</v>
      </c>
      <c r="Z100" s="75">
        <f t="shared" si="24"/>
        <v>0</v>
      </c>
      <c r="AA100" s="11"/>
      <c r="AB100" s="76">
        <f t="shared" ref="AB100:AG100" si="25">+ROUND(((AB12+AB18+AB33+AB49+AB57+AB86)*AB96),0)</f>
        <v>1894219</v>
      </c>
      <c r="AC100" s="76">
        <f t="shared" si="25"/>
        <v>820774</v>
      </c>
      <c r="AD100" s="76">
        <f t="shared" si="25"/>
        <v>669099</v>
      </c>
      <c r="AE100" s="76">
        <f t="shared" si="25"/>
        <v>470415</v>
      </c>
      <c r="AF100" s="76">
        <f t="shared" si="25"/>
        <v>413408</v>
      </c>
      <c r="AG100" s="76">
        <f t="shared" si="25"/>
        <v>769212</v>
      </c>
    </row>
    <row r="101" spans="2:33" s="12" customFormat="1" ht="18" customHeight="1" x14ac:dyDescent="0.25">
      <c r="B101" s="46"/>
      <c r="C101" s="46"/>
      <c r="D101" s="46"/>
      <c r="E101" s="73" t="s">
        <v>200</v>
      </c>
      <c r="F101" s="78">
        <f>+F99+F100</f>
        <v>136869842.78549999</v>
      </c>
      <c r="G101" s="78">
        <f>+G99+G100</f>
        <v>2463657170.1389999</v>
      </c>
      <c r="H101" s="78">
        <f t="shared" ref="H101:Y101" si="26">+H99+H100</f>
        <v>104518789.0362</v>
      </c>
      <c r="I101" s="78">
        <f t="shared" si="26"/>
        <v>0</v>
      </c>
      <c r="J101" s="78">
        <f t="shared" si="26"/>
        <v>0</v>
      </c>
      <c r="K101" s="78">
        <f t="shared" si="26"/>
        <v>0</v>
      </c>
      <c r="L101" s="78">
        <f t="shared" si="26"/>
        <v>18174987.899196479</v>
      </c>
      <c r="M101" s="78">
        <f>+M99+M100</f>
        <v>6058329.2997321598</v>
      </c>
      <c r="N101" s="78">
        <f t="shared" si="26"/>
        <v>0</v>
      </c>
      <c r="O101" s="78">
        <f t="shared" si="26"/>
        <v>6685618.9969784152</v>
      </c>
      <c r="P101" s="78">
        <f t="shared" si="26"/>
        <v>22285396.656594716</v>
      </c>
      <c r="Q101" s="78">
        <f t="shared" si="26"/>
        <v>21393980.790330928</v>
      </c>
      <c r="R101" s="78">
        <f t="shared" si="26"/>
        <v>0</v>
      </c>
      <c r="S101" s="78">
        <f t="shared" si="26"/>
        <v>0</v>
      </c>
      <c r="T101" s="78">
        <f t="shared" si="26"/>
        <v>0</v>
      </c>
      <c r="U101" s="78">
        <f t="shared" si="26"/>
        <v>5951979.4349092003</v>
      </c>
      <c r="V101" s="78">
        <f t="shared" si="26"/>
        <v>5843761.6270017605</v>
      </c>
      <c r="W101" s="78">
        <f t="shared" si="26"/>
        <v>3895841.0846678405</v>
      </c>
      <c r="X101" s="78">
        <f t="shared" si="26"/>
        <v>3565663.4650551542</v>
      </c>
      <c r="Y101" s="78">
        <f t="shared" si="26"/>
        <v>5942772.4417585908</v>
      </c>
      <c r="Z101" s="78">
        <f>+Z99+Z100</f>
        <v>0</v>
      </c>
      <c r="AA101" s="11"/>
      <c r="AB101" s="77">
        <f>+AB99+AB100</f>
        <v>11863795</v>
      </c>
      <c r="AC101" s="77">
        <f t="shared" ref="AC101:AG101" si="27">+AC99+AC100</f>
        <v>5140639</v>
      </c>
      <c r="AD101" s="77">
        <f t="shared" si="27"/>
        <v>4190673</v>
      </c>
      <c r="AE101" s="77">
        <f t="shared" si="27"/>
        <v>2946283</v>
      </c>
      <c r="AF101" s="77">
        <f t="shared" si="27"/>
        <v>2589238</v>
      </c>
      <c r="AG101" s="77">
        <f t="shared" si="27"/>
        <v>4817698</v>
      </c>
    </row>
    <row r="102" spans="2:33" ht="17.25" customHeight="1" x14ac:dyDescent="0.25">
      <c r="D102" s="13"/>
      <c r="E102" s="14"/>
      <c r="F102" s="15"/>
      <c r="G102" s="16"/>
      <c r="H102" s="16"/>
      <c r="I102" s="16"/>
      <c r="J102" s="16"/>
      <c r="K102" s="16"/>
      <c r="L102" s="16"/>
      <c r="M102" s="16"/>
      <c r="O102" s="17"/>
      <c r="W102" s="18"/>
      <c r="Y102" s="71"/>
      <c r="Z102" s="72"/>
      <c r="AA102" s="19"/>
      <c r="AB102" s="71"/>
      <c r="AC102" s="72"/>
    </row>
    <row r="103" spans="2:33" ht="31.5" x14ac:dyDescent="0.25">
      <c r="C103" s="79" t="s">
        <v>108</v>
      </c>
      <c r="D103" s="79" t="s">
        <v>109</v>
      </c>
    </row>
    <row r="104" spans="2:33" ht="22.5" customHeight="1" x14ac:dyDescent="0.25">
      <c r="C104" s="63">
        <f>+AA11+AA17+AA32+AA48+AA56+AA85</f>
        <v>2804844133.6569252</v>
      </c>
      <c r="D104" s="63">
        <f>SUM(AB101:AG101)</f>
        <v>31548326</v>
      </c>
    </row>
    <row r="105" spans="2:33" ht="27" customHeight="1" x14ac:dyDescent="0.25"/>
    <row r="106" spans="2:33" ht="31.5" customHeight="1" x14ac:dyDescent="0.25">
      <c r="C106" s="80" t="s">
        <v>0</v>
      </c>
      <c r="D106" s="80" t="s">
        <v>110</v>
      </c>
      <c r="E106" s="80" t="s">
        <v>111</v>
      </c>
      <c r="F106" s="80" t="s">
        <v>203</v>
      </c>
      <c r="G106" s="80" t="s">
        <v>112</v>
      </c>
      <c r="K106" s="20"/>
      <c r="L106" s="20"/>
      <c r="Y106" s="7"/>
    </row>
    <row r="107" spans="2:33" ht="20.25" customHeight="1" x14ac:dyDescent="0.25">
      <c r="C107" s="59" t="s">
        <v>113</v>
      </c>
      <c r="D107" s="60">
        <f>+AA11*1</f>
        <v>257397008.26725519</v>
      </c>
      <c r="E107" s="60">
        <f>+((AB12*AB97)+(AC12*AC97)+(AD12*AD97)+(AE12*AE97)+(AF12*AF97)+(AG12*AG97))*1</f>
        <v>2617733.4400000004</v>
      </c>
      <c r="F107" s="61">
        <f>+E107*0.052</f>
        <v>136122.13888000001</v>
      </c>
      <c r="G107" s="60">
        <f t="shared" ref="G107:G113" si="28">SUM(D107:F107)</f>
        <v>260150863.8461352</v>
      </c>
      <c r="K107" s="21"/>
      <c r="L107" s="20"/>
      <c r="Y107" s="7"/>
    </row>
    <row r="108" spans="2:33" ht="20.25" customHeight="1" x14ac:dyDescent="0.25">
      <c r="C108" s="59" t="s">
        <v>42</v>
      </c>
      <c r="D108" s="60">
        <f>+AA17*1</f>
        <v>279451344.29681146</v>
      </c>
      <c r="E108" s="60">
        <f>+((AB18*AB97)+(AC18*AC97)+(AD18*AD97)+(AE18*AE97)+(AF18*AF97)+(AG18*AG97))*1</f>
        <v>4847067.54</v>
      </c>
      <c r="F108" s="61">
        <f t="shared" ref="F108:F112" si="29">+E108*0.052</f>
        <v>252047.51207999999</v>
      </c>
      <c r="G108" s="60">
        <f t="shared" si="28"/>
        <v>284550459.3488915</v>
      </c>
      <c r="K108" s="21"/>
      <c r="L108" s="20"/>
      <c r="Y108" s="7"/>
    </row>
    <row r="109" spans="2:33" ht="20.25" customHeight="1" x14ac:dyDescent="0.25">
      <c r="C109" s="59" t="s">
        <v>50</v>
      </c>
      <c r="D109" s="60">
        <f>+AA32*1</f>
        <v>390663998.80714387</v>
      </c>
      <c r="E109" s="60">
        <f>+((AB33*AB97)+(AC33*AC97)+(AD33*AD97)+(AE33*AE97)+(AF33*AF97)+(AG33*AG97))*1</f>
        <v>4207146.2300000004</v>
      </c>
      <c r="F109" s="61">
        <f t="shared" si="29"/>
        <v>218771.60396000001</v>
      </c>
      <c r="G109" s="60">
        <f t="shared" si="28"/>
        <v>395089916.64110386</v>
      </c>
      <c r="K109" s="21"/>
      <c r="L109" s="20"/>
      <c r="Y109" s="7"/>
    </row>
    <row r="110" spans="2:33" ht="20.25" customHeight="1" x14ac:dyDescent="0.25">
      <c r="C110" s="59" t="s">
        <v>114</v>
      </c>
      <c r="D110" s="60">
        <f>+AA48*1</f>
        <v>436200612.09216368</v>
      </c>
      <c r="E110" s="60">
        <f>+((AB49*AB97)+(AC49*AC97)+(AD49*AD97)+(AE49*AE97)+(AF49*AF97)+(AG49*AG97))*1</f>
        <v>3706635.8</v>
      </c>
      <c r="F110" s="61">
        <f t="shared" si="29"/>
        <v>192745.06159999999</v>
      </c>
      <c r="G110" s="60">
        <f t="shared" si="28"/>
        <v>440099992.95376372</v>
      </c>
      <c r="K110" s="21"/>
      <c r="L110" s="20"/>
      <c r="Y110" s="7"/>
    </row>
    <row r="111" spans="2:33" ht="20.25" customHeight="1" x14ac:dyDescent="0.25">
      <c r="C111" s="59" t="s">
        <v>75</v>
      </c>
      <c r="D111" s="60">
        <f>+AA56*1</f>
        <v>412058059.23083788</v>
      </c>
      <c r="E111" s="60">
        <f>+((AB57*AB97)+(AC57*AC97)+(AD57*AD97)+(AE57*AE97)+(AF57*AF97)+(AG57*AG97))*1</f>
        <v>3102263.3600000003</v>
      </c>
      <c r="F111" s="61">
        <f t="shared" si="29"/>
        <v>161317.69472</v>
      </c>
      <c r="G111" s="60">
        <f t="shared" si="28"/>
        <v>415321640.28555787</v>
      </c>
      <c r="K111" s="21"/>
      <c r="L111" s="20"/>
      <c r="Y111" s="7"/>
    </row>
    <row r="112" spans="2:33" ht="20.25" customHeight="1" x14ac:dyDescent="0.25">
      <c r="C112" s="59" t="s">
        <v>78</v>
      </c>
      <c r="D112" s="60">
        <f>+AA85*1</f>
        <v>1029073110.9627131</v>
      </c>
      <c r="E112" s="60">
        <f>+((AB86*AB97)+(AC86*AC97)+(AD86*AD97)+(AE86*AE97)+(AF86*AF97)+(AG86*AG97))*1</f>
        <v>13067480.440000001</v>
      </c>
      <c r="F112" s="61">
        <f t="shared" si="29"/>
        <v>679508.98288000003</v>
      </c>
      <c r="G112" s="60">
        <f t="shared" si="28"/>
        <v>1042820100.3855932</v>
      </c>
      <c r="K112" s="21"/>
      <c r="L112" s="20"/>
      <c r="Y112" s="7"/>
    </row>
    <row r="113" spans="3:25" ht="20.25" customHeight="1" x14ac:dyDescent="0.25">
      <c r="C113" s="64" t="s">
        <v>115</v>
      </c>
      <c r="D113" s="62">
        <f>SUM(D107:D112)</f>
        <v>2804844133.6569252</v>
      </c>
      <c r="E113" s="62">
        <f>SUM(E107:E112)</f>
        <v>31548326.810000002</v>
      </c>
      <c r="F113" s="62">
        <f>SUM(F107:F112)</f>
        <v>1640512.9941199999</v>
      </c>
      <c r="G113" s="62">
        <f t="shared" si="28"/>
        <v>2838032973.4610453</v>
      </c>
      <c r="K113" s="20"/>
      <c r="L113" s="20"/>
      <c r="Y113" s="7"/>
    </row>
  </sheetData>
  <mergeCells count="6">
    <mergeCell ref="B86:E86"/>
    <mergeCell ref="B12:E12"/>
    <mergeCell ref="B18:E18"/>
    <mergeCell ref="B33:E33"/>
    <mergeCell ref="B49:E49"/>
    <mergeCell ref="B57:E57"/>
  </mergeCells>
  <pageMargins left="0.27559055118110237" right="0.31496062992125984" top="0.74803149606299213" bottom="0.74803149606299213" header="0.31496062992125984" footer="0.31496062992125984"/>
  <pageSetup paperSize="14" scale="50" orientation="landscape" r:id="rId1"/>
  <ignoredErrors>
    <ignoredError sqref="F91:Z91 G99:G100 AA57 AA49 AA18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H113"/>
  <sheetViews>
    <sheetView showGridLines="0" zoomScale="80" zoomScaleNormal="80" workbookViewId="0">
      <pane xSplit="5" ySplit="1" topLeftCell="U21" activePane="bottomRight" state="frozen"/>
      <selection pane="topRight" activeCell="F1" sqref="F1"/>
      <selection pane="bottomLeft" activeCell="A2" sqref="A2"/>
      <selection pane="bottomRight" activeCell="AA58" sqref="AA58"/>
    </sheetView>
  </sheetViews>
  <sheetFormatPr baseColWidth="10" defaultColWidth="9.140625" defaultRowHeight="12.75" x14ac:dyDescent="0.25"/>
  <cols>
    <col min="1" max="1" width="2.5703125" style="7" customWidth="1"/>
    <col min="2" max="2" width="12.85546875" style="12" customWidth="1"/>
    <col min="3" max="3" width="34" style="8" customWidth="1"/>
    <col min="4" max="4" width="29.85546875" style="8" customWidth="1"/>
    <col min="5" max="5" width="21.85546875" style="8" customWidth="1"/>
    <col min="6" max="6" width="21.28515625" style="9" customWidth="1"/>
    <col min="7" max="7" width="19.28515625" style="9" customWidth="1"/>
    <col min="8" max="8" width="17.140625" style="9" customWidth="1"/>
    <col min="9" max="9" width="17.140625" style="9" hidden="1" customWidth="1"/>
    <col min="10" max="10" width="20.42578125" style="9" hidden="1" customWidth="1"/>
    <col min="11" max="11" width="21.42578125" style="9" hidden="1" customWidth="1"/>
    <col min="12" max="12" width="16.7109375" style="9" customWidth="1"/>
    <col min="13" max="13" width="17.42578125" style="9" customWidth="1"/>
    <col min="14" max="14" width="13.7109375" style="9" hidden="1" customWidth="1"/>
    <col min="15" max="15" width="16" style="9" customWidth="1"/>
    <col min="16" max="16" width="19" style="9" customWidth="1"/>
    <col min="17" max="17" width="17.42578125" style="9" customWidth="1"/>
    <col min="18" max="18" width="17.5703125" style="9" hidden="1" customWidth="1"/>
    <col min="19" max="19" width="18" style="9" hidden="1" customWidth="1"/>
    <col min="20" max="20" width="17.28515625" style="9" hidden="1" customWidth="1"/>
    <col min="21" max="21" width="14.7109375" style="9" customWidth="1"/>
    <col min="22" max="22" width="13.28515625" style="9" customWidth="1"/>
    <col min="23" max="23" width="17.140625" style="9" customWidth="1"/>
    <col min="24" max="24" width="18.85546875" style="9" customWidth="1"/>
    <col min="25" max="25" width="18.42578125" style="9" customWidth="1"/>
    <col min="26" max="26" width="16.7109375" style="7" customWidth="1"/>
    <col min="27" max="27" width="22.42578125" style="7" customWidth="1"/>
    <col min="28" max="33" width="15.85546875" style="7" customWidth="1"/>
    <col min="34" max="16384" width="9.140625" style="7"/>
  </cols>
  <sheetData>
    <row r="1" spans="2:33" s="1" customFormat="1" ht="99.75" customHeight="1" x14ac:dyDescent="0.25">
      <c r="B1" s="81" t="s">
        <v>0</v>
      </c>
      <c r="C1" s="81" t="s">
        <v>1</v>
      </c>
      <c r="D1" s="81" t="s">
        <v>2</v>
      </c>
      <c r="E1" s="81" t="s">
        <v>3</v>
      </c>
      <c r="F1" s="82" t="s">
        <v>4</v>
      </c>
      <c r="G1" s="82" t="s">
        <v>5</v>
      </c>
      <c r="H1" s="82" t="s">
        <v>6</v>
      </c>
      <c r="I1" s="82" t="s">
        <v>7</v>
      </c>
      <c r="J1" s="82" t="s">
        <v>8</v>
      </c>
      <c r="K1" s="82" t="s">
        <v>9</v>
      </c>
      <c r="L1" s="82" t="s">
        <v>10</v>
      </c>
      <c r="M1" s="82" t="s">
        <v>11</v>
      </c>
      <c r="N1" s="82" t="s">
        <v>12</v>
      </c>
      <c r="O1" s="82" t="s">
        <v>13</v>
      </c>
      <c r="P1" s="82" t="s">
        <v>14</v>
      </c>
      <c r="Q1" s="82" t="s">
        <v>15</v>
      </c>
      <c r="R1" s="82" t="s">
        <v>16</v>
      </c>
      <c r="S1" s="82" t="s">
        <v>17</v>
      </c>
      <c r="T1" s="81" t="s">
        <v>18</v>
      </c>
      <c r="U1" s="82" t="s">
        <v>19</v>
      </c>
      <c r="V1" s="82" t="s">
        <v>20</v>
      </c>
      <c r="W1" s="83" t="s">
        <v>21</v>
      </c>
      <c r="X1" s="82" t="s">
        <v>22</v>
      </c>
      <c r="Y1" s="82" t="s">
        <v>23</v>
      </c>
      <c r="Z1" s="82" t="s">
        <v>24</v>
      </c>
      <c r="AA1" s="84" t="s">
        <v>25</v>
      </c>
      <c r="AB1" s="82" t="s">
        <v>26</v>
      </c>
      <c r="AC1" s="82" t="s">
        <v>27</v>
      </c>
      <c r="AD1" s="82" t="s">
        <v>28</v>
      </c>
      <c r="AE1" s="82" t="s">
        <v>29</v>
      </c>
      <c r="AF1" s="82" t="s">
        <v>30</v>
      </c>
      <c r="AG1" s="82" t="s">
        <v>31</v>
      </c>
    </row>
    <row r="2" spans="2:33" s="2" customFormat="1" ht="49.5" customHeight="1" x14ac:dyDescent="0.25">
      <c r="B2" s="30" t="s">
        <v>32</v>
      </c>
      <c r="C2" s="27" t="s">
        <v>33</v>
      </c>
      <c r="D2" s="27" t="s">
        <v>151</v>
      </c>
      <c r="E2" s="27" t="s">
        <v>35</v>
      </c>
      <c r="F2" s="28">
        <v>0</v>
      </c>
      <c r="G2" s="31">
        <v>1</v>
      </c>
      <c r="H2" s="28">
        <v>0</v>
      </c>
      <c r="I2" s="28">
        <v>0</v>
      </c>
      <c r="J2" s="28">
        <v>0</v>
      </c>
      <c r="K2" s="28">
        <v>0</v>
      </c>
      <c r="L2" s="28">
        <v>0</v>
      </c>
      <c r="M2" s="28">
        <v>0</v>
      </c>
      <c r="N2" s="28">
        <v>0</v>
      </c>
      <c r="O2" s="28">
        <v>0</v>
      </c>
      <c r="P2" s="28">
        <v>0</v>
      </c>
      <c r="Q2" s="28">
        <v>0</v>
      </c>
      <c r="R2" s="28">
        <v>0</v>
      </c>
      <c r="S2" s="28">
        <v>0</v>
      </c>
      <c r="T2" s="28">
        <v>0</v>
      </c>
      <c r="U2" s="28">
        <v>0</v>
      </c>
      <c r="V2" s="28">
        <v>0</v>
      </c>
      <c r="W2" s="28">
        <v>0</v>
      </c>
      <c r="X2" s="28">
        <v>0</v>
      </c>
      <c r="Y2" s="28">
        <v>0</v>
      </c>
      <c r="Z2" s="28">
        <v>0</v>
      </c>
      <c r="AB2" s="35">
        <v>19</v>
      </c>
      <c r="AC2" s="35">
        <v>2</v>
      </c>
      <c r="AD2" s="35">
        <v>1</v>
      </c>
      <c r="AE2" s="35">
        <v>1</v>
      </c>
      <c r="AF2" s="35">
        <v>1</v>
      </c>
      <c r="AG2" s="35">
        <v>2</v>
      </c>
    </row>
    <row r="3" spans="2:33" s="2" customFormat="1" ht="48" customHeight="1" x14ac:dyDescent="0.25">
      <c r="B3" s="29" t="s">
        <v>32</v>
      </c>
      <c r="C3" s="27" t="s">
        <v>34</v>
      </c>
      <c r="D3" s="27" t="s">
        <v>151</v>
      </c>
      <c r="E3" s="27" t="s">
        <v>35</v>
      </c>
      <c r="F3" s="28">
        <v>0</v>
      </c>
      <c r="G3" s="31">
        <v>3</v>
      </c>
      <c r="H3" s="28">
        <v>0</v>
      </c>
      <c r="I3" s="28">
        <v>0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0</v>
      </c>
      <c r="R3" s="28">
        <v>0</v>
      </c>
      <c r="S3" s="28">
        <v>0</v>
      </c>
      <c r="T3" s="28">
        <v>0</v>
      </c>
      <c r="U3" s="28">
        <v>0</v>
      </c>
      <c r="V3" s="28">
        <v>0</v>
      </c>
      <c r="W3" s="28">
        <v>0</v>
      </c>
      <c r="X3" s="28">
        <v>0</v>
      </c>
      <c r="Y3" s="28">
        <v>0</v>
      </c>
      <c r="Z3" s="28">
        <v>0</v>
      </c>
      <c r="AB3" s="32">
        <v>0</v>
      </c>
      <c r="AC3" s="32">
        <v>0</v>
      </c>
      <c r="AD3" s="32">
        <v>0</v>
      </c>
      <c r="AE3" s="32">
        <v>0</v>
      </c>
      <c r="AF3" s="32">
        <v>0</v>
      </c>
      <c r="AG3" s="32">
        <v>0</v>
      </c>
    </row>
    <row r="4" spans="2:33" s="2" customFormat="1" ht="48" customHeight="1" x14ac:dyDescent="0.25">
      <c r="B4" s="29" t="s">
        <v>32</v>
      </c>
      <c r="C4" s="27" t="s">
        <v>34</v>
      </c>
      <c r="D4" s="27" t="s">
        <v>150</v>
      </c>
      <c r="E4" s="27" t="s">
        <v>35</v>
      </c>
      <c r="F4" s="28">
        <v>0</v>
      </c>
      <c r="G4" s="31">
        <v>2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B4" s="32">
        <v>15</v>
      </c>
      <c r="AC4" s="32">
        <v>0</v>
      </c>
      <c r="AD4" s="35">
        <v>1</v>
      </c>
      <c r="AE4" s="35">
        <v>1</v>
      </c>
      <c r="AF4" s="32">
        <v>0</v>
      </c>
      <c r="AG4" s="35">
        <v>1</v>
      </c>
    </row>
    <row r="5" spans="2:33" s="2" customFormat="1" ht="49.5" customHeight="1" x14ac:dyDescent="0.25">
      <c r="B5" s="29" t="s">
        <v>32</v>
      </c>
      <c r="C5" s="27" t="s">
        <v>34</v>
      </c>
      <c r="D5" s="27" t="s">
        <v>178</v>
      </c>
      <c r="E5" s="27" t="s">
        <v>35</v>
      </c>
      <c r="F5" s="28">
        <v>0</v>
      </c>
      <c r="G5" s="31">
        <v>1</v>
      </c>
      <c r="H5" s="28">
        <v>0</v>
      </c>
      <c r="I5" s="28">
        <v>0</v>
      </c>
      <c r="J5" s="28">
        <v>0</v>
      </c>
      <c r="K5" s="28">
        <v>0</v>
      </c>
      <c r="L5" s="28">
        <v>0</v>
      </c>
      <c r="M5" s="28">
        <v>0</v>
      </c>
      <c r="N5" s="28">
        <v>0</v>
      </c>
      <c r="O5" s="28">
        <v>0</v>
      </c>
      <c r="P5" s="28">
        <v>0</v>
      </c>
      <c r="Q5" s="28">
        <v>0</v>
      </c>
      <c r="R5" s="28">
        <v>0</v>
      </c>
      <c r="S5" s="28">
        <v>0</v>
      </c>
      <c r="T5" s="28">
        <v>0</v>
      </c>
      <c r="U5" s="28">
        <v>0</v>
      </c>
      <c r="V5" s="28">
        <v>0</v>
      </c>
      <c r="W5" s="28">
        <v>0</v>
      </c>
      <c r="X5" s="28">
        <v>0</v>
      </c>
      <c r="Y5" s="28">
        <v>0</v>
      </c>
      <c r="Z5" s="28">
        <v>0</v>
      </c>
      <c r="AB5" s="32">
        <v>7</v>
      </c>
      <c r="AC5" s="32">
        <v>0</v>
      </c>
      <c r="AD5" s="35">
        <v>1</v>
      </c>
      <c r="AE5" s="35">
        <v>1</v>
      </c>
      <c r="AF5" s="32">
        <v>0</v>
      </c>
      <c r="AG5" s="35">
        <v>1</v>
      </c>
    </row>
    <row r="6" spans="2:33" s="2" customFormat="1" ht="49.5" customHeight="1" x14ac:dyDescent="0.25">
      <c r="B6" s="29" t="s">
        <v>32</v>
      </c>
      <c r="C6" s="27" t="s">
        <v>34</v>
      </c>
      <c r="D6" s="27" t="s">
        <v>144</v>
      </c>
      <c r="E6" s="27" t="s">
        <v>36</v>
      </c>
      <c r="F6" s="28">
        <v>0</v>
      </c>
      <c r="G6" s="31">
        <v>2</v>
      </c>
      <c r="H6" s="28">
        <v>0</v>
      </c>
      <c r="I6" s="28">
        <v>0</v>
      </c>
      <c r="J6" s="28">
        <v>0</v>
      </c>
      <c r="K6" s="28">
        <v>0</v>
      </c>
      <c r="L6" s="28">
        <v>0</v>
      </c>
      <c r="M6" s="28">
        <v>0</v>
      </c>
      <c r="N6" s="28">
        <v>0</v>
      </c>
      <c r="O6" s="28">
        <v>0</v>
      </c>
      <c r="P6" s="28">
        <v>0</v>
      </c>
      <c r="Q6" s="28">
        <v>0</v>
      </c>
      <c r="R6" s="28">
        <v>0</v>
      </c>
      <c r="S6" s="28">
        <v>0</v>
      </c>
      <c r="T6" s="28">
        <v>0</v>
      </c>
      <c r="U6" s="28">
        <v>0</v>
      </c>
      <c r="V6" s="28">
        <v>0</v>
      </c>
      <c r="W6" s="28">
        <v>0</v>
      </c>
      <c r="X6" s="31">
        <v>1</v>
      </c>
      <c r="Y6" s="28">
        <v>0</v>
      </c>
      <c r="Z6" s="28">
        <v>0</v>
      </c>
      <c r="AB6" s="32">
        <v>11</v>
      </c>
      <c r="AC6" s="32">
        <v>0</v>
      </c>
      <c r="AD6" s="35">
        <v>1</v>
      </c>
      <c r="AE6" s="35">
        <v>1</v>
      </c>
      <c r="AF6" s="32">
        <v>0</v>
      </c>
      <c r="AG6" s="35">
        <v>1</v>
      </c>
    </row>
    <row r="7" spans="2:33" s="2" customFormat="1" ht="48" customHeight="1" x14ac:dyDescent="0.25">
      <c r="B7" s="29" t="s">
        <v>32</v>
      </c>
      <c r="C7" s="27" t="s">
        <v>34</v>
      </c>
      <c r="D7" s="27" t="s">
        <v>145</v>
      </c>
      <c r="E7" s="27" t="s">
        <v>36</v>
      </c>
      <c r="F7" s="28">
        <v>0</v>
      </c>
      <c r="G7" s="31">
        <v>1</v>
      </c>
      <c r="H7" s="28">
        <v>0</v>
      </c>
      <c r="I7" s="28"/>
      <c r="J7" s="28"/>
      <c r="K7" s="28"/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B7" s="32">
        <v>0</v>
      </c>
      <c r="AC7" s="32">
        <v>0</v>
      </c>
      <c r="AD7" s="32">
        <v>0</v>
      </c>
      <c r="AE7" s="32">
        <v>0</v>
      </c>
      <c r="AF7" s="32">
        <v>0</v>
      </c>
      <c r="AG7" s="32">
        <v>0</v>
      </c>
    </row>
    <row r="8" spans="2:33" s="2" customFormat="1" ht="48" customHeight="1" x14ac:dyDescent="0.25">
      <c r="B8" s="29" t="s">
        <v>32</v>
      </c>
      <c r="C8" s="27" t="s">
        <v>34</v>
      </c>
      <c r="D8" s="27" t="s">
        <v>179</v>
      </c>
      <c r="E8" s="27" t="s">
        <v>37</v>
      </c>
      <c r="F8" s="28">
        <v>0</v>
      </c>
      <c r="G8" s="31">
        <v>2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0</v>
      </c>
      <c r="W8" s="28">
        <v>0</v>
      </c>
      <c r="X8" s="28">
        <v>0</v>
      </c>
      <c r="Y8" s="28">
        <v>0</v>
      </c>
      <c r="Z8" s="28">
        <v>0</v>
      </c>
      <c r="AB8" s="35">
        <v>16</v>
      </c>
      <c r="AC8" s="32">
        <v>0</v>
      </c>
      <c r="AD8" s="35">
        <v>1</v>
      </c>
      <c r="AE8" s="35">
        <v>1</v>
      </c>
      <c r="AF8" s="32">
        <v>0</v>
      </c>
      <c r="AG8" s="35">
        <v>3</v>
      </c>
    </row>
    <row r="9" spans="2:33" s="2" customFormat="1" ht="48" customHeight="1" x14ac:dyDescent="0.25">
      <c r="B9" s="29" t="s">
        <v>32</v>
      </c>
      <c r="C9" s="27" t="s">
        <v>34</v>
      </c>
      <c r="D9" s="27" t="s">
        <v>38</v>
      </c>
      <c r="E9" s="27" t="s">
        <v>37</v>
      </c>
      <c r="F9" s="28">
        <v>0</v>
      </c>
      <c r="G9" s="31">
        <v>2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58">
        <f>+AA11*1</f>
        <v>257397008.26725519</v>
      </c>
      <c r="AB9" s="32">
        <v>0</v>
      </c>
      <c r="AC9" s="32">
        <v>0</v>
      </c>
      <c r="AD9" s="32">
        <v>0</v>
      </c>
      <c r="AE9" s="32">
        <v>0</v>
      </c>
      <c r="AF9" s="32">
        <v>0</v>
      </c>
      <c r="AG9" s="32">
        <v>0</v>
      </c>
    </row>
    <row r="10" spans="2:33" s="2" customFormat="1" ht="48" customHeight="1" x14ac:dyDescent="0.25">
      <c r="B10" s="29" t="s">
        <v>32</v>
      </c>
      <c r="C10" s="27" t="s">
        <v>34</v>
      </c>
      <c r="D10" s="27" t="s">
        <v>39</v>
      </c>
      <c r="E10" s="27" t="s">
        <v>40</v>
      </c>
      <c r="F10" s="28">
        <v>0</v>
      </c>
      <c r="G10" s="31">
        <v>1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B10" s="32">
        <v>0</v>
      </c>
      <c r="AC10" s="32">
        <v>0</v>
      </c>
      <c r="AD10" s="32">
        <v>0</v>
      </c>
      <c r="AE10" s="32">
        <v>0</v>
      </c>
      <c r="AF10" s="32">
        <v>0</v>
      </c>
      <c r="AG10" s="32">
        <v>0</v>
      </c>
    </row>
    <row r="11" spans="2:33" s="2" customFormat="1" ht="48" customHeight="1" x14ac:dyDescent="0.25">
      <c r="B11" s="29" t="s">
        <v>32</v>
      </c>
      <c r="C11" s="27" t="s">
        <v>34</v>
      </c>
      <c r="D11" s="27" t="s">
        <v>180</v>
      </c>
      <c r="E11" s="27" t="s">
        <v>40</v>
      </c>
      <c r="F11" s="28">
        <v>0</v>
      </c>
      <c r="G11" s="31">
        <v>2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58">
        <f>+(G12*G97)+(X12*X97)</f>
        <v>257397008.26725519</v>
      </c>
      <c r="AB11" s="35">
        <v>15</v>
      </c>
      <c r="AC11" s="32">
        <v>0</v>
      </c>
      <c r="AD11" s="35">
        <v>1</v>
      </c>
      <c r="AE11" s="35">
        <v>1</v>
      </c>
      <c r="AF11" s="32">
        <v>0</v>
      </c>
      <c r="AG11" s="35">
        <v>3</v>
      </c>
    </row>
    <row r="12" spans="2:33" s="53" customFormat="1" ht="19.5" customHeight="1" x14ac:dyDescent="0.25">
      <c r="B12" s="165" t="s">
        <v>41</v>
      </c>
      <c r="C12" s="165"/>
      <c r="D12" s="165"/>
      <c r="E12" s="165"/>
      <c r="F12" s="85">
        <f t="shared" ref="F12:Z12" si="0">SUM(F2:F11)</f>
        <v>0</v>
      </c>
      <c r="G12" s="85">
        <f t="shared" si="0"/>
        <v>17</v>
      </c>
      <c r="H12" s="85">
        <f t="shared" si="0"/>
        <v>0</v>
      </c>
      <c r="I12" s="85">
        <f t="shared" si="0"/>
        <v>0</v>
      </c>
      <c r="J12" s="85">
        <f t="shared" si="0"/>
        <v>0</v>
      </c>
      <c r="K12" s="85">
        <f t="shared" si="0"/>
        <v>0</v>
      </c>
      <c r="L12" s="85">
        <f t="shared" si="0"/>
        <v>0</v>
      </c>
      <c r="M12" s="85">
        <f t="shared" si="0"/>
        <v>0</v>
      </c>
      <c r="N12" s="85">
        <f t="shared" si="0"/>
        <v>0</v>
      </c>
      <c r="O12" s="85">
        <f t="shared" si="0"/>
        <v>0</v>
      </c>
      <c r="P12" s="85">
        <f t="shared" si="0"/>
        <v>0</v>
      </c>
      <c r="Q12" s="85">
        <f t="shared" si="0"/>
        <v>0</v>
      </c>
      <c r="R12" s="85">
        <f t="shared" si="0"/>
        <v>0</v>
      </c>
      <c r="S12" s="85">
        <f t="shared" si="0"/>
        <v>0</v>
      </c>
      <c r="T12" s="85">
        <f t="shared" si="0"/>
        <v>0</v>
      </c>
      <c r="U12" s="85">
        <f t="shared" si="0"/>
        <v>0</v>
      </c>
      <c r="V12" s="85">
        <f t="shared" si="0"/>
        <v>0</v>
      </c>
      <c r="W12" s="85">
        <f t="shared" si="0"/>
        <v>0</v>
      </c>
      <c r="X12" s="85">
        <f t="shared" si="0"/>
        <v>1</v>
      </c>
      <c r="Y12" s="85">
        <f t="shared" si="0"/>
        <v>0</v>
      </c>
      <c r="Z12" s="85">
        <f t="shared" si="0"/>
        <v>0</v>
      </c>
      <c r="AA12" s="86">
        <f>SUM(F12:Z12)</f>
        <v>18</v>
      </c>
      <c r="AB12" s="87">
        <f t="shared" ref="AB12:AG12" si="1">SUM(AB2:AB11)</f>
        <v>83</v>
      </c>
      <c r="AC12" s="87">
        <f t="shared" si="1"/>
        <v>2</v>
      </c>
      <c r="AD12" s="87">
        <f t="shared" si="1"/>
        <v>6</v>
      </c>
      <c r="AE12" s="87">
        <f t="shared" si="1"/>
        <v>6</v>
      </c>
      <c r="AF12" s="87">
        <f t="shared" si="1"/>
        <v>1</v>
      </c>
      <c r="AG12" s="87">
        <f t="shared" si="1"/>
        <v>11</v>
      </c>
    </row>
    <row r="13" spans="2:33" s="2" customFormat="1" ht="49.5" customHeight="1" x14ac:dyDescent="0.25">
      <c r="B13" s="30" t="s">
        <v>42</v>
      </c>
      <c r="C13" s="27" t="s">
        <v>43</v>
      </c>
      <c r="D13" s="27" t="s">
        <v>181</v>
      </c>
      <c r="E13" s="27" t="s">
        <v>45</v>
      </c>
      <c r="F13" s="28">
        <v>0</v>
      </c>
      <c r="G13" s="31">
        <v>1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32">
        <v>0</v>
      </c>
    </row>
    <row r="14" spans="2:33" s="2" customFormat="1" ht="48" customHeight="1" x14ac:dyDescent="0.25">
      <c r="B14" s="29" t="s">
        <v>42</v>
      </c>
      <c r="C14" s="27" t="s">
        <v>44</v>
      </c>
      <c r="D14" s="27" t="s">
        <v>181</v>
      </c>
      <c r="E14" s="27" t="s">
        <v>45</v>
      </c>
      <c r="F14" s="31">
        <v>1</v>
      </c>
      <c r="G14" s="31">
        <v>3</v>
      </c>
      <c r="H14" s="31">
        <v>1</v>
      </c>
      <c r="I14" s="28">
        <v>0</v>
      </c>
      <c r="J14" s="28">
        <v>0</v>
      </c>
      <c r="K14" s="28">
        <v>0</v>
      </c>
      <c r="L14" s="28">
        <v>0</v>
      </c>
      <c r="M14" s="31">
        <v>1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31">
        <v>1</v>
      </c>
      <c r="Z14" s="28">
        <v>0</v>
      </c>
      <c r="AB14" s="35">
        <v>58</v>
      </c>
      <c r="AC14" s="35">
        <v>2</v>
      </c>
      <c r="AD14" s="35">
        <v>2</v>
      </c>
      <c r="AE14" s="35">
        <v>2</v>
      </c>
      <c r="AF14" s="35">
        <v>1</v>
      </c>
      <c r="AG14" s="35">
        <v>5</v>
      </c>
    </row>
    <row r="15" spans="2:33" s="2" customFormat="1" ht="47.25" customHeight="1" x14ac:dyDescent="0.25">
      <c r="B15" s="29" t="s">
        <v>42</v>
      </c>
      <c r="C15" s="27" t="s">
        <v>46</v>
      </c>
      <c r="D15" s="27" t="s">
        <v>181</v>
      </c>
      <c r="E15" s="27" t="s">
        <v>45</v>
      </c>
      <c r="F15" s="31"/>
      <c r="G15" s="31">
        <v>2</v>
      </c>
      <c r="H15" s="31">
        <v>1</v>
      </c>
      <c r="I15" s="28"/>
      <c r="J15" s="28"/>
      <c r="K15" s="28"/>
      <c r="L15" s="28"/>
      <c r="M15" s="28"/>
      <c r="N15" s="28"/>
      <c r="O15" s="28"/>
      <c r="P15" s="28">
        <v>1</v>
      </c>
      <c r="Q15" s="28"/>
      <c r="R15" s="28"/>
      <c r="S15" s="28"/>
      <c r="T15" s="28"/>
      <c r="U15" s="28"/>
      <c r="V15" s="28"/>
      <c r="W15" s="28"/>
      <c r="X15" s="28"/>
      <c r="Y15" s="28"/>
      <c r="Z15" s="28"/>
      <c r="AB15" s="35">
        <v>5</v>
      </c>
      <c r="AC15" s="32">
        <v>40</v>
      </c>
      <c r="AD15" s="32">
        <v>2</v>
      </c>
      <c r="AE15" s="32">
        <v>2</v>
      </c>
      <c r="AF15" s="32">
        <v>1</v>
      </c>
      <c r="AG15" s="32"/>
    </row>
    <row r="16" spans="2:33" s="2" customFormat="1" ht="48" customHeight="1" x14ac:dyDescent="0.25">
      <c r="B16" s="29" t="s">
        <v>42</v>
      </c>
      <c r="C16" s="27" t="s">
        <v>44</v>
      </c>
      <c r="D16" s="27" t="s">
        <v>152</v>
      </c>
      <c r="E16" s="27" t="s">
        <v>47</v>
      </c>
      <c r="F16" s="31">
        <v>3</v>
      </c>
      <c r="G16" s="31">
        <v>3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58">
        <f>+AA17*1</f>
        <v>313770934.78133035</v>
      </c>
      <c r="AB16" s="35">
        <v>10</v>
      </c>
      <c r="AC16" s="32">
        <v>0</v>
      </c>
      <c r="AD16" s="35">
        <v>1</v>
      </c>
      <c r="AE16" s="35">
        <v>1</v>
      </c>
      <c r="AF16" s="32">
        <v>0</v>
      </c>
      <c r="AG16" s="35">
        <v>3</v>
      </c>
    </row>
    <row r="17" spans="2:34" s="2" customFormat="1" ht="48" customHeight="1" x14ac:dyDescent="0.25">
      <c r="B17" s="29" t="s">
        <v>42</v>
      </c>
      <c r="C17" s="27" t="s">
        <v>44</v>
      </c>
      <c r="D17" s="27" t="s">
        <v>146</v>
      </c>
      <c r="E17" s="27" t="s">
        <v>48</v>
      </c>
      <c r="F17" s="31">
        <v>2</v>
      </c>
      <c r="G17" s="31">
        <v>3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58">
        <f>+(F18*F97)+(G18*G97)+(H18*H97)+(M18*M97)+(P18*P97)+(Y18*Y97)</f>
        <v>313770934.78133035</v>
      </c>
      <c r="AB17" s="35">
        <v>10</v>
      </c>
      <c r="AC17" s="32">
        <v>0</v>
      </c>
      <c r="AD17" s="35">
        <v>1</v>
      </c>
      <c r="AE17" s="35">
        <v>1</v>
      </c>
      <c r="AF17" s="32">
        <v>0</v>
      </c>
      <c r="AG17" s="35">
        <v>3</v>
      </c>
    </row>
    <row r="18" spans="2:34" s="53" customFormat="1" ht="19.5" customHeight="1" x14ac:dyDescent="0.25">
      <c r="B18" s="165" t="s">
        <v>49</v>
      </c>
      <c r="C18" s="165"/>
      <c r="D18" s="165"/>
      <c r="E18" s="165"/>
      <c r="F18" s="85">
        <f t="shared" ref="F18:Z18" si="2">SUM(F13:F17)</f>
        <v>6</v>
      </c>
      <c r="G18" s="85">
        <f t="shared" si="2"/>
        <v>12</v>
      </c>
      <c r="H18" s="85">
        <f t="shared" si="2"/>
        <v>2</v>
      </c>
      <c r="I18" s="85">
        <f t="shared" si="2"/>
        <v>0</v>
      </c>
      <c r="J18" s="85">
        <f t="shared" si="2"/>
        <v>0</v>
      </c>
      <c r="K18" s="85">
        <f t="shared" si="2"/>
        <v>0</v>
      </c>
      <c r="L18" s="85">
        <f t="shared" si="2"/>
        <v>0</v>
      </c>
      <c r="M18" s="85">
        <f t="shared" si="2"/>
        <v>1</v>
      </c>
      <c r="N18" s="85">
        <f t="shared" si="2"/>
        <v>0</v>
      </c>
      <c r="O18" s="85">
        <f t="shared" si="2"/>
        <v>0</v>
      </c>
      <c r="P18" s="85">
        <f t="shared" si="2"/>
        <v>1</v>
      </c>
      <c r="Q18" s="85">
        <f t="shared" si="2"/>
        <v>0</v>
      </c>
      <c r="R18" s="85">
        <f t="shared" si="2"/>
        <v>0</v>
      </c>
      <c r="S18" s="85">
        <f t="shared" si="2"/>
        <v>0</v>
      </c>
      <c r="T18" s="85">
        <f t="shared" si="2"/>
        <v>0</v>
      </c>
      <c r="U18" s="85">
        <f t="shared" si="2"/>
        <v>0</v>
      </c>
      <c r="V18" s="85">
        <f t="shared" si="2"/>
        <v>0</v>
      </c>
      <c r="W18" s="85">
        <f t="shared" si="2"/>
        <v>0</v>
      </c>
      <c r="X18" s="85">
        <f t="shared" si="2"/>
        <v>0</v>
      </c>
      <c r="Y18" s="85">
        <f t="shared" si="2"/>
        <v>1</v>
      </c>
      <c r="Z18" s="85">
        <f t="shared" si="2"/>
        <v>0</v>
      </c>
      <c r="AA18" s="86">
        <f>SUM(F18:Z18)</f>
        <v>23</v>
      </c>
      <c r="AB18" s="87">
        <f>SUM(AB13:AB17)</f>
        <v>83</v>
      </c>
      <c r="AC18" s="87">
        <f t="shared" ref="AC18:AG18" si="3">SUM(AC13:AC17)</f>
        <v>42</v>
      </c>
      <c r="AD18" s="87">
        <f t="shared" si="3"/>
        <v>6</v>
      </c>
      <c r="AE18" s="87">
        <f t="shared" si="3"/>
        <v>6</v>
      </c>
      <c r="AF18" s="87">
        <f t="shared" si="3"/>
        <v>2</v>
      </c>
      <c r="AG18" s="87">
        <f t="shared" si="3"/>
        <v>11</v>
      </c>
    </row>
    <row r="19" spans="2:34" s="2" customFormat="1" ht="43.5" customHeight="1" x14ac:dyDescent="0.25">
      <c r="B19" s="30" t="s">
        <v>50</v>
      </c>
      <c r="C19" s="27" t="s">
        <v>33</v>
      </c>
      <c r="D19" s="27" t="s">
        <v>182</v>
      </c>
      <c r="E19" s="27" t="s">
        <v>52</v>
      </c>
      <c r="F19" s="28">
        <v>0</v>
      </c>
      <c r="G19" s="31">
        <v>1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B19" s="32">
        <v>0</v>
      </c>
      <c r="AC19" s="32">
        <v>0</v>
      </c>
      <c r="AD19" s="32">
        <v>0</v>
      </c>
      <c r="AE19" s="32">
        <v>0</v>
      </c>
      <c r="AF19" s="32">
        <v>0</v>
      </c>
      <c r="AG19" s="32">
        <v>0</v>
      </c>
    </row>
    <row r="20" spans="2:34" s="2" customFormat="1" ht="48" customHeight="1" x14ac:dyDescent="0.25">
      <c r="B20" s="29" t="s">
        <v>50</v>
      </c>
      <c r="C20" s="27" t="s">
        <v>195</v>
      </c>
      <c r="D20" s="27" t="s">
        <v>182</v>
      </c>
      <c r="E20" s="27" t="s">
        <v>52</v>
      </c>
      <c r="F20" s="28">
        <v>0</v>
      </c>
      <c r="G20" s="31">
        <v>4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31">
        <v>1</v>
      </c>
      <c r="R20" s="28">
        <v>0</v>
      </c>
      <c r="S20" s="28">
        <v>0</v>
      </c>
      <c r="T20" s="28">
        <v>0</v>
      </c>
      <c r="U20" s="28">
        <v>0</v>
      </c>
      <c r="V20" s="31">
        <v>1</v>
      </c>
      <c r="W20" s="28">
        <v>0</v>
      </c>
      <c r="X20" s="28">
        <v>0</v>
      </c>
      <c r="Y20" s="28">
        <v>0</v>
      </c>
      <c r="Z20" s="28">
        <v>0</v>
      </c>
      <c r="AB20" s="35">
        <v>18</v>
      </c>
      <c r="AC20" s="32">
        <v>0</v>
      </c>
      <c r="AD20" s="35">
        <v>2</v>
      </c>
      <c r="AE20" s="35">
        <v>2</v>
      </c>
      <c r="AF20" s="35">
        <v>1</v>
      </c>
      <c r="AG20" s="32">
        <v>0</v>
      </c>
    </row>
    <row r="21" spans="2:34" s="2" customFormat="1" ht="48" customHeight="1" x14ac:dyDescent="0.25">
      <c r="B21" s="29" t="s">
        <v>50</v>
      </c>
      <c r="C21" s="27" t="s">
        <v>195</v>
      </c>
      <c r="D21" s="27" t="s">
        <v>183</v>
      </c>
      <c r="E21" s="27" t="s">
        <v>121</v>
      </c>
      <c r="F21" s="28">
        <v>0</v>
      </c>
      <c r="G21" s="31">
        <v>1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B21" s="35">
        <v>8</v>
      </c>
      <c r="AC21" s="32">
        <v>0</v>
      </c>
      <c r="AD21" s="35">
        <v>1</v>
      </c>
      <c r="AE21" s="35">
        <v>1</v>
      </c>
      <c r="AF21" s="35">
        <v>1</v>
      </c>
      <c r="AG21" s="35">
        <v>1</v>
      </c>
    </row>
    <row r="22" spans="2:34" s="2" customFormat="1" ht="48" customHeight="1" x14ac:dyDescent="0.25">
      <c r="B22" s="29" t="s">
        <v>50</v>
      </c>
      <c r="C22" s="27" t="s">
        <v>195</v>
      </c>
      <c r="D22" s="27" t="s">
        <v>153</v>
      </c>
      <c r="E22" s="27" t="s">
        <v>123</v>
      </c>
      <c r="F22" s="28">
        <v>0</v>
      </c>
      <c r="G22" s="31">
        <v>1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B22" s="35">
        <v>8</v>
      </c>
      <c r="AC22" s="32">
        <v>0</v>
      </c>
      <c r="AD22" s="35">
        <v>1</v>
      </c>
      <c r="AE22" s="35">
        <v>1</v>
      </c>
      <c r="AF22" s="35">
        <v>1</v>
      </c>
      <c r="AG22" s="35">
        <v>1</v>
      </c>
    </row>
    <row r="23" spans="2:34" s="2" customFormat="1" ht="43.5" customHeight="1" x14ac:dyDescent="0.25">
      <c r="B23" s="30" t="s">
        <v>50</v>
      </c>
      <c r="C23" s="27" t="s">
        <v>51</v>
      </c>
      <c r="D23" s="27" t="s">
        <v>53</v>
      </c>
      <c r="E23" s="27" t="s">
        <v>52</v>
      </c>
      <c r="F23" s="28">
        <v>0</v>
      </c>
      <c r="G23" s="31">
        <v>3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/>
      <c r="N23" s="28">
        <v>0</v>
      </c>
      <c r="O23" s="28">
        <v>0</v>
      </c>
      <c r="P23" s="28">
        <v>0</v>
      </c>
      <c r="Q23" s="31">
        <v>1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B23" s="35">
        <v>22</v>
      </c>
      <c r="AC23" s="32">
        <v>0</v>
      </c>
      <c r="AD23" s="35">
        <v>2</v>
      </c>
      <c r="AE23" s="35">
        <v>2</v>
      </c>
      <c r="AF23" s="35">
        <v>1</v>
      </c>
      <c r="AG23" s="32">
        <v>0</v>
      </c>
    </row>
    <row r="24" spans="2:34" s="2" customFormat="1" ht="48" customHeight="1" x14ac:dyDescent="0.25">
      <c r="B24" s="29" t="s">
        <v>50</v>
      </c>
      <c r="C24" s="27" t="s">
        <v>54</v>
      </c>
      <c r="D24" s="27" t="s">
        <v>154</v>
      </c>
      <c r="E24" s="27" t="s">
        <v>121</v>
      </c>
      <c r="F24" s="28">
        <v>0</v>
      </c>
      <c r="G24" s="31">
        <v>3</v>
      </c>
      <c r="H24" s="28">
        <v>0</v>
      </c>
      <c r="I24" s="28">
        <v>0</v>
      </c>
      <c r="J24" s="28">
        <v>0</v>
      </c>
      <c r="K24" s="28">
        <v>0</v>
      </c>
      <c r="L24" s="31">
        <v>1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B24" s="35">
        <v>12</v>
      </c>
      <c r="AC24" s="32">
        <v>0</v>
      </c>
      <c r="AD24" s="35">
        <v>1</v>
      </c>
      <c r="AE24" s="35">
        <v>1</v>
      </c>
      <c r="AF24" s="32">
        <v>0</v>
      </c>
      <c r="AG24" s="32">
        <v>0</v>
      </c>
    </row>
    <row r="25" spans="2:34" s="2" customFormat="1" ht="48" customHeight="1" x14ac:dyDescent="0.25">
      <c r="B25" s="29" t="s">
        <v>50</v>
      </c>
      <c r="C25" s="27" t="s">
        <v>54</v>
      </c>
      <c r="D25" s="27" t="s">
        <v>147</v>
      </c>
      <c r="E25" s="27" t="s">
        <v>121</v>
      </c>
      <c r="F25" s="28">
        <v>0</v>
      </c>
      <c r="G25" s="31">
        <v>2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31">
        <v>1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B25" s="32">
        <v>0</v>
      </c>
      <c r="AC25" s="32">
        <v>0</v>
      </c>
      <c r="AD25" s="32">
        <v>0</v>
      </c>
      <c r="AE25" s="32">
        <v>0</v>
      </c>
      <c r="AF25" s="32">
        <v>0</v>
      </c>
      <c r="AG25" s="32">
        <v>0</v>
      </c>
    </row>
    <row r="26" spans="2:34" s="2" customFormat="1" ht="48" customHeight="1" x14ac:dyDescent="0.25">
      <c r="B26" s="29" t="s">
        <v>50</v>
      </c>
      <c r="C26" s="27" t="s">
        <v>54</v>
      </c>
      <c r="D26" s="27" t="s">
        <v>148</v>
      </c>
      <c r="E26" s="27" t="s">
        <v>124</v>
      </c>
      <c r="F26" s="28">
        <v>0</v>
      </c>
      <c r="G26" s="31">
        <v>1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B26" s="35">
        <v>6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</row>
    <row r="27" spans="2:34" s="2" customFormat="1" ht="49.5" customHeight="1" x14ac:dyDescent="0.25">
      <c r="B27" s="30" t="s">
        <v>50</v>
      </c>
      <c r="C27" s="27" t="s">
        <v>55</v>
      </c>
      <c r="D27" s="27" t="s">
        <v>184</v>
      </c>
      <c r="E27" s="27" t="s">
        <v>56</v>
      </c>
      <c r="F27" s="28">
        <v>0</v>
      </c>
      <c r="G27" s="31">
        <v>2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B27" s="35">
        <v>14</v>
      </c>
      <c r="AC27" s="32">
        <v>0</v>
      </c>
      <c r="AD27" s="35">
        <v>1</v>
      </c>
      <c r="AE27" s="35">
        <v>1</v>
      </c>
      <c r="AF27" s="32">
        <v>0</v>
      </c>
      <c r="AG27" s="35">
        <v>1</v>
      </c>
    </row>
    <row r="28" spans="2:34" s="2" customFormat="1" ht="49.5" customHeight="1" x14ac:dyDescent="0.25">
      <c r="B28" s="30" t="s">
        <v>50</v>
      </c>
      <c r="C28" s="27" t="s">
        <v>55</v>
      </c>
      <c r="D28" s="27" t="s">
        <v>185</v>
      </c>
      <c r="E28" s="27" t="s">
        <v>56</v>
      </c>
      <c r="F28" s="28">
        <v>0</v>
      </c>
      <c r="G28" s="31">
        <v>2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B28" s="35">
        <v>6</v>
      </c>
      <c r="AC28" s="35">
        <v>2</v>
      </c>
      <c r="AD28" s="35">
        <v>1</v>
      </c>
      <c r="AE28" s="35">
        <v>1</v>
      </c>
      <c r="AF28" s="32">
        <v>0</v>
      </c>
      <c r="AG28" s="35">
        <v>1</v>
      </c>
    </row>
    <row r="29" spans="2:34" s="2" customFormat="1" ht="49.5" customHeight="1" x14ac:dyDescent="0.25">
      <c r="B29" s="30" t="s">
        <v>50</v>
      </c>
      <c r="C29" s="27" t="s">
        <v>55</v>
      </c>
      <c r="D29" s="27" t="s">
        <v>186</v>
      </c>
      <c r="E29" s="27" t="s">
        <v>56</v>
      </c>
      <c r="F29" s="28">
        <v>0</v>
      </c>
      <c r="G29" s="31">
        <v>1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B29" s="35">
        <v>6</v>
      </c>
      <c r="AC29" s="35">
        <v>2</v>
      </c>
      <c r="AD29" s="35">
        <v>1</v>
      </c>
      <c r="AE29" s="35">
        <v>1</v>
      </c>
      <c r="AF29" s="32">
        <v>0</v>
      </c>
      <c r="AG29" s="35">
        <v>1</v>
      </c>
    </row>
    <row r="30" spans="2:34" s="2" customFormat="1" ht="49.5" customHeight="1" x14ac:dyDescent="0.25">
      <c r="B30" s="30" t="s">
        <v>50</v>
      </c>
      <c r="C30" s="27" t="s">
        <v>55</v>
      </c>
      <c r="D30" s="27" t="s">
        <v>171</v>
      </c>
      <c r="E30" s="27" t="s">
        <v>56</v>
      </c>
      <c r="F30" s="28">
        <v>0</v>
      </c>
      <c r="G30" s="31">
        <v>1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58">
        <f>+AA32*1</f>
        <v>390663998.80714387</v>
      </c>
      <c r="AB30" s="35">
        <v>4</v>
      </c>
      <c r="AC30" s="35">
        <v>2</v>
      </c>
      <c r="AD30" s="32">
        <v>0</v>
      </c>
      <c r="AE30" s="32">
        <v>0</v>
      </c>
      <c r="AF30" s="32">
        <v>0</v>
      </c>
      <c r="AG30" s="32">
        <v>0</v>
      </c>
      <c r="AH30" s="32"/>
    </row>
    <row r="31" spans="2:34" s="2" customFormat="1" ht="49.5" customHeight="1" x14ac:dyDescent="0.25">
      <c r="B31" s="30" t="s">
        <v>50</v>
      </c>
      <c r="C31" s="27" t="s">
        <v>57</v>
      </c>
      <c r="D31" s="27" t="s">
        <v>187</v>
      </c>
      <c r="E31" s="27" t="s">
        <v>125</v>
      </c>
      <c r="F31" s="28">
        <v>0</v>
      </c>
      <c r="G31" s="31">
        <v>1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58"/>
      <c r="AB31" s="35">
        <v>6</v>
      </c>
      <c r="AC31" s="32">
        <v>0</v>
      </c>
      <c r="AD31" s="35">
        <v>1</v>
      </c>
      <c r="AE31" s="35">
        <v>1</v>
      </c>
      <c r="AF31" s="32">
        <v>0</v>
      </c>
      <c r="AG31" s="35">
        <v>1</v>
      </c>
    </row>
    <row r="32" spans="2:34" s="2" customFormat="1" ht="49.5" customHeight="1" x14ac:dyDescent="0.25">
      <c r="B32" s="30" t="s">
        <v>50</v>
      </c>
      <c r="C32" s="27" t="s">
        <v>57</v>
      </c>
      <c r="D32" s="27" t="s">
        <v>149</v>
      </c>
      <c r="E32" s="27" t="s">
        <v>126</v>
      </c>
      <c r="F32" s="28">
        <v>0</v>
      </c>
      <c r="G32" s="31">
        <v>1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58">
        <f>+(G33*G97)+(L33*L97)+(O33*O97)+(Q33*Q97)+(V33*V97)</f>
        <v>390663998.80714387</v>
      </c>
      <c r="AB32" s="35">
        <v>6</v>
      </c>
      <c r="AC32" s="32">
        <v>0</v>
      </c>
      <c r="AD32" s="35">
        <v>1</v>
      </c>
      <c r="AE32" s="35">
        <v>1</v>
      </c>
      <c r="AF32" s="32">
        <v>0</v>
      </c>
      <c r="AG32" s="35">
        <v>1</v>
      </c>
    </row>
    <row r="33" spans="2:33" s="53" customFormat="1" ht="19.5" customHeight="1" x14ac:dyDescent="0.25">
      <c r="B33" s="165" t="s">
        <v>58</v>
      </c>
      <c r="C33" s="165"/>
      <c r="D33" s="165"/>
      <c r="E33" s="165"/>
      <c r="F33" s="85">
        <f t="shared" ref="F33:Z33" si="4">SUM(F19:F32)</f>
        <v>0</v>
      </c>
      <c r="G33" s="85">
        <f t="shared" si="4"/>
        <v>24</v>
      </c>
      <c r="H33" s="85">
        <f t="shared" si="4"/>
        <v>0</v>
      </c>
      <c r="I33" s="85">
        <f t="shared" si="4"/>
        <v>0</v>
      </c>
      <c r="J33" s="85">
        <f t="shared" si="4"/>
        <v>0</v>
      </c>
      <c r="K33" s="85">
        <f t="shared" si="4"/>
        <v>0</v>
      </c>
      <c r="L33" s="85">
        <f t="shared" si="4"/>
        <v>1</v>
      </c>
      <c r="M33" s="85">
        <f t="shared" si="4"/>
        <v>0</v>
      </c>
      <c r="N33" s="85">
        <f t="shared" si="4"/>
        <v>0</v>
      </c>
      <c r="O33" s="85">
        <f t="shared" si="4"/>
        <v>1</v>
      </c>
      <c r="P33" s="85">
        <f t="shared" si="4"/>
        <v>0</v>
      </c>
      <c r="Q33" s="85">
        <f t="shared" si="4"/>
        <v>2</v>
      </c>
      <c r="R33" s="85">
        <f t="shared" si="4"/>
        <v>0</v>
      </c>
      <c r="S33" s="85">
        <f t="shared" si="4"/>
        <v>0</v>
      </c>
      <c r="T33" s="85">
        <f t="shared" si="4"/>
        <v>0</v>
      </c>
      <c r="U33" s="85">
        <f t="shared" si="4"/>
        <v>0</v>
      </c>
      <c r="V33" s="85">
        <f t="shared" si="4"/>
        <v>1</v>
      </c>
      <c r="W33" s="85">
        <f t="shared" si="4"/>
        <v>0</v>
      </c>
      <c r="X33" s="85">
        <f t="shared" si="4"/>
        <v>0</v>
      </c>
      <c r="Y33" s="85">
        <f t="shared" si="4"/>
        <v>0</v>
      </c>
      <c r="Z33" s="85">
        <f t="shared" si="4"/>
        <v>0</v>
      </c>
      <c r="AA33" s="86">
        <f>SUM(F33:Z33)</f>
        <v>29</v>
      </c>
      <c r="AB33" s="87">
        <f t="shared" ref="AB33:AG33" si="5">SUM(AB19:AB32)</f>
        <v>116</v>
      </c>
      <c r="AC33" s="87">
        <f t="shared" si="5"/>
        <v>6</v>
      </c>
      <c r="AD33" s="87">
        <f t="shared" si="5"/>
        <v>12</v>
      </c>
      <c r="AE33" s="87">
        <f t="shared" si="5"/>
        <v>12</v>
      </c>
      <c r="AF33" s="87">
        <f t="shared" si="5"/>
        <v>4</v>
      </c>
      <c r="AG33" s="87">
        <f t="shared" si="5"/>
        <v>7</v>
      </c>
    </row>
    <row r="34" spans="2:33" s="2" customFormat="1" ht="48" customHeight="1" x14ac:dyDescent="0.25">
      <c r="B34" s="29" t="s">
        <v>59</v>
      </c>
      <c r="C34" s="27" t="s">
        <v>43</v>
      </c>
      <c r="D34" s="27" t="s">
        <v>60</v>
      </c>
      <c r="E34" s="27" t="s">
        <v>61</v>
      </c>
      <c r="F34" s="28">
        <v>0</v>
      </c>
      <c r="G34" s="31">
        <v>0</v>
      </c>
      <c r="H34" s="31">
        <v>1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B34" s="32">
        <v>0</v>
      </c>
      <c r="AC34" s="32">
        <v>0</v>
      </c>
      <c r="AD34" s="32">
        <v>0</v>
      </c>
      <c r="AE34" s="32">
        <v>0</v>
      </c>
      <c r="AF34" s="32">
        <v>0</v>
      </c>
      <c r="AG34" s="32">
        <v>0</v>
      </c>
    </row>
    <row r="35" spans="2:33" s="2" customFormat="1" ht="48" customHeight="1" x14ac:dyDescent="0.25">
      <c r="B35" s="29" t="s">
        <v>59</v>
      </c>
      <c r="C35" s="27" t="s">
        <v>43</v>
      </c>
      <c r="D35" s="27" t="s">
        <v>62</v>
      </c>
      <c r="E35" s="27" t="s">
        <v>61</v>
      </c>
      <c r="F35" s="28">
        <v>0</v>
      </c>
      <c r="G35" s="31">
        <v>1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31">
        <v>1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31">
        <v>1</v>
      </c>
      <c r="Z35" s="28">
        <v>0</v>
      </c>
      <c r="AB35" s="32">
        <v>0</v>
      </c>
      <c r="AC35" s="32">
        <v>0</v>
      </c>
      <c r="AD35" s="32">
        <v>0</v>
      </c>
      <c r="AE35" s="32">
        <v>0</v>
      </c>
      <c r="AF35" s="32">
        <v>0</v>
      </c>
      <c r="AG35" s="32">
        <v>0</v>
      </c>
    </row>
    <row r="36" spans="2:33" s="2" customFormat="1" ht="48" customHeight="1" x14ac:dyDescent="0.25">
      <c r="B36" s="29" t="s">
        <v>59</v>
      </c>
      <c r="C36" s="27" t="s">
        <v>43</v>
      </c>
      <c r="D36" s="27" t="s">
        <v>63</v>
      </c>
      <c r="E36" s="27" t="s">
        <v>61</v>
      </c>
      <c r="F36" s="28">
        <v>0</v>
      </c>
      <c r="G36" s="31">
        <v>2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B36" s="35">
        <v>25</v>
      </c>
      <c r="AC36" s="35">
        <v>2</v>
      </c>
      <c r="AD36" s="35">
        <v>3</v>
      </c>
      <c r="AE36" s="35">
        <v>1</v>
      </c>
      <c r="AF36" s="32">
        <v>0</v>
      </c>
      <c r="AG36" s="32">
        <v>0</v>
      </c>
    </row>
    <row r="37" spans="2:33" s="2" customFormat="1" ht="48" customHeight="1" x14ac:dyDescent="0.25">
      <c r="B37" s="29" t="s">
        <v>59</v>
      </c>
      <c r="C37" s="27" t="s">
        <v>43</v>
      </c>
      <c r="D37" s="27" t="s">
        <v>64</v>
      </c>
      <c r="E37" s="27" t="s">
        <v>61</v>
      </c>
      <c r="F37" s="28">
        <v>0</v>
      </c>
      <c r="G37" s="31">
        <v>1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B37" s="35">
        <v>10</v>
      </c>
      <c r="AC37" s="35">
        <v>2</v>
      </c>
      <c r="AD37" s="32">
        <v>0</v>
      </c>
      <c r="AE37" s="32">
        <v>0</v>
      </c>
      <c r="AF37" s="32">
        <v>0</v>
      </c>
      <c r="AG37" s="32">
        <v>0</v>
      </c>
    </row>
    <row r="38" spans="2:33" s="2" customFormat="1" ht="48" customHeight="1" x14ac:dyDescent="0.25">
      <c r="B38" s="29" t="s">
        <v>59</v>
      </c>
      <c r="C38" s="27" t="s">
        <v>43</v>
      </c>
      <c r="D38" s="27" t="s">
        <v>65</v>
      </c>
      <c r="E38" s="27" t="s">
        <v>61</v>
      </c>
      <c r="F38" s="28"/>
      <c r="G38" s="31">
        <v>1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B38" s="32">
        <v>0</v>
      </c>
      <c r="AC38" s="32">
        <v>0</v>
      </c>
      <c r="AD38" s="32">
        <v>0</v>
      </c>
      <c r="AE38" s="32">
        <v>0</v>
      </c>
      <c r="AF38" s="32">
        <v>0</v>
      </c>
      <c r="AG38" s="32">
        <v>0</v>
      </c>
    </row>
    <row r="39" spans="2:33" s="2" customFormat="1" ht="49.5" customHeight="1" x14ac:dyDescent="0.25">
      <c r="B39" s="29" t="s">
        <v>59</v>
      </c>
      <c r="C39" s="27" t="s">
        <v>66</v>
      </c>
      <c r="D39" s="27" t="s">
        <v>67</v>
      </c>
      <c r="E39" s="27" t="s">
        <v>61</v>
      </c>
      <c r="F39" s="28">
        <v>0</v>
      </c>
      <c r="G39" s="31">
        <v>3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31">
        <v>1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B39" s="35">
        <v>13</v>
      </c>
      <c r="AC39" s="35">
        <v>1</v>
      </c>
      <c r="AD39" s="32">
        <v>0</v>
      </c>
      <c r="AE39" s="32">
        <v>0</v>
      </c>
      <c r="AF39" s="32">
        <v>0</v>
      </c>
      <c r="AG39" s="35">
        <v>2</v>
      </c>
    </row>
    <row r="40" spans="2:33" s="2" customFormat="1" ht="49.5" customHeight="1" x14ac:dyDescent="0.25">
      <c r="B40" s="29" t="s">
        <v>59</v>
      </c>
      <c r="C40" s="27" t="s">
        <v>66</v>
      </c>
      <c r="D40" s="27" t="s">
        <v>68</v>
      </c>
      <c r="E40" s="27" t="s">
        <v>61</v>
      </c>
      <c r="F40" s="28">
        <v>0</v>
      </c>
      <c r="G40" s="31">
        <v>1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31">
        <v>1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B40" s="35">
        <v>11</v>
      </c>
      <c r="AC40" s="32">
        <v>0</v>
      </c>
      <c r="AD40" s="32">
        <v>0</v>
      </c>
      <c r="AE40" s="32">
        <v>0</v>
      </c>
      <c r="AF40" s="32">
        <v>0</v>
      </c>
      <c r="AG40" s="35">
        <v>3</v>
      </c>
    </row>
    <row r="41" spans="2:33" s="2" customFormat="1" ht="49.5" customHeight="1" x14ac:dyDescent="0.25">
      <c r="B41" s="29" t="s">
        <v>59</v>
      </c>
      <c r="C41" s="27" t="s">
        <v>66</v>
      </c>
      <c r="D41" s="27" t="s">
        <v>69</v>
      </c>
      <c r="E41" s="27" t="s">
        <v>61</v>
      </c>
      <c r="F41" s="28">
        <v>0</v>
      </c>
      <c r="G41" s="31">
        <v>2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B41" s="35">
        <v>9</v>
      </c>
      <c r="AC41" s="35">
        <v>1</v>
      </c>
      <c r="AD41" s="35">
        <v>1</v>
      </c>
      <c r="AE41" s="35">
        <v>1</v>
      </c>
      <c r="AF41" s="32">
        <v>0</v>
      </c>
      <c r="AG41" s="35">
        <v>4</v>
      </c>
    </row>
    <row r="42" spans="2:33" s="2" customFormat="1" ht="49.5" customHeight="1" x14ac:dyDescent="0.25">
      <c r="B42" s="29" t="s">
        <v>59</v>
      </c>
      <c r="C42" s="27" t="s">
        <v>66</v>
      </c>
      <c r="D42" s="27" t="s">
        <v>188</v>
      </c>
      <c r="E42" s="27" t="s">
        <v>61</v>
      </c>
      <c r="F42" s="28">
        <v>0</v>
      </c>
      <c r="G42" s="31">
        <v>3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B42" s="35">
        <v>11</v>
      </c>
      <c r="AC42" s="35">
        <v>1</v>
      </c>
      <c r="AD42" s="35">
        <v>1</v>
      </c>
      <c r="AE42" s="35">
        <v>1</v>
      </c>
      <c r="AF42" s="32">
        <v>0</v>
      </c>
      <c r="AG42" s="35">
        <v>3</v>
      </c>
    </row>
    <row r="43" spans="2:33" s="2" customFormat="1" ht="49.5" customHeight="1" x14ac:dyDescent="0.25">
      <c r="B43" s="29" t="s">
        <v>59</v>
      </c>
      <c r="C43" s="27" t="s">
        <v>66</v>
      </c>
      <c r="D43" s="27" t="s">
        <v>189</v>
      </c>
      <c r="E43" s="27" t="s">
        <v>70</v>
      </c>
      <c r="F43" s="28">
        <v>0</v>
      </c>
      <c r="G43" s="31">
        <v>2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B43" s="35">
        <v>13</v>
      </c>
      <c r="AC43" s="35">
        <v>1</v>
      </c>
      <c r="AD43" s="35">
        <v>1</v>
      </c>
      <c r="AE43" s="35">
        <v>1</v>
      </c>
      <c r="AF43" s="32">
        <v>0</v>
      </c>
      <c r="AG43" s="35">
        <v>2</v>
      </c>
    </row>
    <row r="44" spans="2:33" s="2" customFormat="1" ht="49.5" customHeight="1" x14ac:dyDescent="0.25">
      <c r="B44" s="29" t="s">
        <v>59</v>
      </c>
      <c r="C44" s="27" t="s">
        <v>66</v>
      </c>
      <c r="D44" s="27" t="s">
        <v>190</v>
      </c>
      <c r="E44" s="27" t="s">
        <v>71</v>
      </c>
      <c r="F44" s="28">
        <v>0</v>
      </c>
      <c r="G44" s="31">
        <v>1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B44" s="35">
        <v>8</v>
      </c>
      <c r="AC44" s="35">
        <v>1</v>
      </c>
      <c r="AD44" s="35">
        <v>1</v>
      </c>
      <c r="AE44" s="35">
        <v>1</v>
      </c>
      <c r="AF44" s="32">
        <v>0</v>
      </c>
      <c r="AG44" s="35">
        <v>1</v>
      </c>
    </row>
    <row r="45" spans="2:33" s="2" customFormat="1" ht="49.5" customHeight="1" x14ac:dyDescent="0.25">
      <c r="B45" s="29" t="s">
        <v>59</v>
      </c>
      <c r="C45" s="27" t="s">
        <v>66</v>
      </c>
      <c r="D45" s="27" t="s">
        <v>72</v>
      </c>
      <c r="E45" s="27" t="s">
        <v>73</v>
      </c>
      <c r="F45" s="28">
        <v>0</v>
      </c>
      <c r="G45" s="31">
        <v>1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</row>
    <row r="46" spans="2:33" s="2" customFormat="1" ht="43.5" customHeight="1" x14ac:dyDescent="0.25">
      <c r="B46" s="29" t="s">
        <v>59</v>
      </c>
      <c r="C46" s="27" t="s">
        <v>155</v>
      </c>
      <c r="D46" s="27" t="s">
        <v>191</v>
      </c>
      <c r="E46" s="27" t="s">
        <v>71</v>
      </c>
      <c r="F46" s="28">
        <v>0</v>
      </c>
      <c r="G46" s="31">
        <v>2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58">
        <f>+AA48*1</f>
        <v>436200612.09216368</v>
      </c>
      <c r="AB46" s="35">
        <v>8</v>
      </c>
      <c r="AC46" s="35">
        <v>1</v>
      </c>
      <c r="AD46" s="35">
        <v>1</v>
      </c>
      <c r="AE46" s="35">
        <v>1</v>
      </c>
      <c r="AF46" s="32">
        <v>0</v>
      </c>
      <c r="AG46" s="35">
        <v>3</v>
      </c>
    </row>
    <row r="47" spans="2:33" s="2" customFormat="1" ht="43.5" customHeight="1" x14ac:dyDescent="0.25">
      <c r="B47" s="29" t="s">
        <v>59</v>
      </c>
      <c r="C47" s="27" t="s">
        <v>155</v>
      </c>
      <c r="D47" s="27" t="s">
        <v>172</v>
      </c>
      <c r="E47" s="27" t="s">
        <v>61</v>
      </c>
      <c r="F47" s="28">
        <v>0</v>
      </c>
      <c r="G47" s="31">
        <v>3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32">
        <v>0</v>
      </c>
    </row>
    <row r="48" spans="2:33" s="2" customFormat="1" ht="43.5" customHeight="1" x14ac:dyDescent="0.25">
      <c r="B48" s="29" t="s">
        <v>59</v>
      </c>
      <c r="C48" s="27" t="s">
        <v>155</v>
      </c>
      <c r="D48" s="27" t="s">
        <v>173</v>
      </c>
      <c r="E48" s="27" t="s">
        <v>127</v>
      </c>
      <c r="F48" s="28">
        <v>0</v>
      </c>
      <c r="G48" s="31">
        <v>4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58">
        <f>+(G49*G97)+(H49*H97)+(P49*P97)+(Q49*Q97)+(Y49*Y97)</f>
        <v>436200612.09216368</v>
      </c>
      <c r="AB48" s="32">
        <v>0</v>
      </c>
      <c r="AC48" s="32">
        <v>0</v>
      </c>
      <c r="AD48" s="32">
        <v>0</v>
      </c>
      <c r="AE48" s="32">
        <v>0</v>
      </c>
      <c r="AF48" s="32">
        <v>0</v>
      </c>
      <c r="AG48" s="32">
        <v>0</v>
      </c>
    </row>
    <row r="49" spans="2:33" s="53" customFormat="1" ht="19.5" customHeight="1" x14ac:dyDescent="0.25">
      <c r="B49" s="165" t="s">
        <v>74</v>
      </c>
      <c r="C49" s="165"/>
      <c r="D49" s="165"/>
      <c r="E49" s="165"/>
      <c r="F49" s="85">
        <f t="shared" ref="F49:Z49" si="6">SUM(F34:F48)</f>
        <v>0</v>
      </c>
      <c r="G49" s="85">
        <f t="shared" si="6"/>
        <v>27</v>
      </c>
      <c r="H49" s="85">
        <f t="shared" si="6"/>
        <v>1</v>
      </c>
      <c r="I49" s="85">
        <f t="shared" si="6"/>
        <v>0</v>
      </c>
      <c r="J49" s="85">
        <f t="shared" si="6"/>
        <v>0</v>
      </c>
      <c r="K49" s="85">
        <f t="shared" si="6"/>
        <v>0</v>
      </c>
      <c r="L49" s="85">
        <f t="shared" si="6"/>
        <v>0</v>
      </c>
      <c r="M49" s="85">
        <f t="shared" si="6"/>
        <v>0</v>
      </c>
      <c r="N49" s="85">
        <f t="shared" si="6"/>
        <v>0</v>
      </c>
      <c r="O49" s="85">
        <f t="shared" si="6"/>
        <v>0</v>
      </c>
      <c r="P49" s="85">
        <f t="shared" si="6"/>
        <v>1</v>
      </c>
      <c r="Q49" s="85">
        <f t="shared" si="6"/>
        <v>2</v>
      </c>
      <c r="R49" s="85">
        <f t="shared" si="6"/>
        <v>0</v>
      </c>
      <c r="S49" s="85">
        <f t="shared" si="6"/>
        <v>0</v>
      </c>
      <c r="T49" s="85">
        <f t="shared" si="6"/>
        <v>0</v>
      </c>
      <c r="U49" s="85">
        <f t="shared" si="6"/>
        <v>0</v>
      </c>
      <c r="V49" s="85">
        <f t="shared" si="6"/>
        <v>0</v>
      </c>
      <c r="W49" s="85">
        <f t="shared" si="6"/>
        <v>0</v>
      </c>
      <c r="X49" s="85">
        <f t="shared" si="6"/>
        <v>0</v>
      </c>
      <c r="Y49" s="85">
        <f t="shared" si="6"/>
        <v>1</v>
      </c>
      <c r="Z49" s="85">
        <f t="shared" si="6"/>
        <v>0</v>
      </c>
      <c r="AA49" s="86">
        <f>SUM(F49:Z49)</f>
        <v>32</v>
      </c>
      <c r="AB49" s="87">
        <f>SUM(AB34:AB48)</f>
        <v>108</v>
      </c>
      <c r="AC49" s="87">
        <f t="shared" ref="AC49:AG49" si="7">SUM(AC34:AC48)</f>
        <v>10</v>
      </c>
      <c r="AD49" s="87">
        <f t="shared" si="7"/>
        <v>8</v>
      </c>
      <c r="AE49" s="87">
        <f t="shared" si="7"/>
        <v>6</v>
      </c>
      <c r="AF49" s="87">
        <f t="shared" si="7"/>
        <v>0</v>
      </c>
      <c r="AG49" s="87">
        <f t="shared" si="7"/>
        <v>18</v>
      </c>
    </row>
    <row r="50" spans="2:33" s="2" customFormat="1" ht="49.5" customHeight="1" x14ac:dyDescent="0.25">
      <c r="B50" s="29" t="s">
        <v>75</v>
      </c>
      <c r="C50" s="27" t="s">
        <v>198</v>
      </c>
      <c r="D50" s="27" t="s">
        <v>196</v>
      </c>
      <c r="E50" s="27" t="s">
        <v>128</v>
      </c>
      <c r="F50" s="28">
        <v>0</v>
      </c>
      <c r="G50" s="31">
        <v>5</v>
      </c>
      <c r="H50" s="31">
        <v>1</v>
      </c>
      <c r="I50" s="28"/>
      <c r="J50" s="28"/>
      <c r="K50" s="28"/>
      <c r="L50" s="28">
        <v>0</v>
      </c>
      <c r="M50" s="28">
        <v>0</v>
      </c>
      <c r="N50" s="28">
        <v>0</v>
      </c>
      <c r="O50" s="28">
        <v>0</v>
      </c>
      <c r="P50" s="31">
        <v>1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B50" s="35">
        <v>45</v>
      </c>
      <c r="AC50" s="35">
        <v>2</v>
      </c>
      <c r="AD50" s="35">
        <v>2</v>
      </c>
      <c r="AE50" s="35">
        <v>2</v>
      </c>
      <c r="AF50" s="32">
        <v>0</v>
      </c>
      <c r="AG50" s="35">
        <v>1</v>
      </c>
    </row>
    <row r="51" spans="2:33" s="2" customFormat="1" ht="43.5" customHeight="1" x14ac:dyDescent="0.25">
      <c r="B51" s="29" t="s">
        <v>75</v>
      </c>
      <c r="C51" s="27" t="s">
        <v>198</v>
      </c>
      <c r="D51" s="27" t="s">
        <v>76</v>
      </c>
      <c r="E51" s="27" t="s">
        <v>128</v>
      </c>
      <c r="F51" s="28">
        <v>0</v>
      </c>
      <c r="G51" s="31">
        <v>1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31">
        <v>1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B51" s="35">
        <v>6</v>
      </c>
      <c r="AC51" s="35">
        <v>1</v>
      </c>
      <c r="AD51" s="35">
        <v>1</v>
      </c>
      <c r="AE51" s="35">
        <v>1</v>
      </c>
      <c r="AF51" s="32">
        <v>0</v>
      </c>
      <c r="AG51" s="35">
        <v>1</v>
      </c>
    </row>
    <row r="52" spans="2:33" s="2" customFormat="1" ht="43.5" customHeight="1" x14ac:dyDescent="0.25">
      <c r="B52" s="29" t="s">
        <v>75</v>
      </c>
      <c r="C52" s="27" t="s">
        <v>198</v>
      </c>
      <c r="D52" s="27" t="s">
        <v>156</v>
      </c>
      <c r="E52" s="27" t="s">
        <v>128</v>
      </c>
      <c r="F52" s="28">
        <v>0</v>
      </c>
      <c r="G52" s="31">
        <v>3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B52" s="35">
        <f>25</f>
        <v>25</v>
      </c>
      <c r="AC52" s="32">
        <v>0</v>
      </c>
      <c r="AD52" s="35">
        <f>2</f>
        <v>2</v>
      </c>
      <c r="AE52" s="35">
        <v>2</v>
      </c>
      <c r="AF52" s="32">
        <v>0</v>
      </c>
      <c r="AG52" s="35">
        <v>1</v>
      </c>
    </row>
    <row r="53" spans="2:33" s="2" customFormat="1" ht="49.5" customHeight="1" x14ac:dyDescent="0.25">
      <c r="B53" s="29" t="s">
        <v>75</v>
      </c>
      <c r="C53" s="27" t="s">
        <v>169</v>
      </c>
      <c r="D53" s="27" t="s">
        <v>157</v>
      </c>
      <c r="E53" s="27" t="s">
        <v>128</v>
      </c>
      <c r="F53" s="28">
        <v>0</v>
      </c>
      <c r="G53" s="31">
        <v>5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B53" s="35">
        <v>25</v>
      </c>
      <c r="AC53" s="35">
        <v>1</v>
      </c>
      <c r="AD53" s="35">
        <v>1</v>
      </c>
      <c r="AE53" s="35">
        <v>1</v>
      </c>
      <c r="AF53" s="32">
        <v>0</v>
      </c>
      <c r="AG53" s="35">
        <v>1</v>
      </c>
    </row>
    <row r="54" spans="2:33" s="2" customFormat="1" ht="43.5" customHeight="1" x14ac:dyDescent="0.25">
      <c r="B54" s="29" t="s">
        <v>75</v>
      </c>
      <c r="C54" s="27" t="s">
        <v>198</v>
      </c>
      <c r="D54" s="27" t="s">
        <v>170</v>
      </c>
      <c r="E54" s="27" t="s">
        <v>159</v>
      </c>
      <c r="F54" s="28">
        <v>0</v>
      </c>
      <c r="G54" s="31">
        <v>3</v>
      </c>
      <c r="H54" s="31">
        <v>1</v>
      </c>
      <c r="I54" s="28"/>
      <c r="J54" s="28"/>
      <c r="K54" s="28"/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58">
        <f>+AA56*1</f>
        <v>412058059.23083788</v>
      </c>
      <c r="AB54" s="32">
        <v>0</v>
      </c>
      <c r="AC54" s="32">
        <v>0</v>
      </c>
      <c r="AD54" s="32">
        <v>0</v>
      </c>
      <c r="AE54" s="32">
        <v>0</v>
      </c>
      <c r="AF54" s="32">
        <v>0</v>
      </c>
      <c r="AG54" s="32">
        <v>0</v>
      </c>
    </row>
    <row r="55" spans="2:33" s="2" customFormat="1" ht="49.5" customHeight="1" x14ac:dyDescent="0.25">
      <c r="B55" s="29" t="s">
        <v>75</v>
      </c>
      <c r="C55" s="27" t="s">
        <v>169</v>
      </c>
      <c r="D55" s="27" t="s">
        <v>158</v>
      </c>
      <c r="E55" s="27" t="s">
        <v>129</v>
      </c>
      <c r="F55" s="28">
        <v>0</v>
      </c>
      <c r="G55" s="31">
        <v>7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B55" s="35">
        <v>15</v>
      </c>
      <c r="AC55" s="35">
        <v>1</v>
      </c>
      <c r="AD55" s="35">
        <v>1</v>
      </c>
      <c r="AE55" s="35">
        <v>1</v>
      </c>
      <c r="AF55" s="32">
        <v>0</v>
      </c>
      <c r="AG55" s="35">
        <v>1</v>
      </c>
    </row>
    <row r="56" spans="2:33" s="2" customFormat="1" ht="49.5" customHeight="1" x14ac:dyDescent="0.25">
      <c r="B56" s="29" t="s">
        <v>75</v>
      </c>
      <c r="C56" s="27" t="s">
        <v>169</v>
      </c>
      <c r="D56" s="27" t="s">
        <v>174</v>
      </c>
      <c r="E56" s="27" t="s">
        <v>129</v>
      </c>
      <c r="F56" s="28">
        <v>0</v>
      </c>
      <c r="G56" s="31">
        <v>1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58">
        <f>+(G57*G97)+(H57*H97)+(P57*P97)</f>
        <v>412058059.23083788</v>
      </c>
      <c r="AB56" s="35">
        <v>5</v>
      </c>
      <c r="AC56" s="35">
        <v>0</v>
      </c>
      <c r="AD56" s="35">
        <v>1</v>
      </c>
      <c r="AE56" s="35">
        <v>1</v>
      </c>
      <c r="AF56" s="32">
        <v>0</v>
      </c>
      <c r="AG56" s="35">
        <v>1</v>
      </c>
    </row>
    <row r="57" spans="2:33" s="53" customFormat="1" ht="19.5" customHeight="1" x14ac:dyDescent="0.25">
      <c r="B57" s="165" t="s">
        <v>77</v>
      </c>
      <c r="C57" s="165"/>
      <c r="D57" s="165"/>
      <c r="E57" s="165"/>
      <c r="F57" s="85">
        <f>SUM(F50:F56)</f>
        <v>0</v>
      </c>
      <c r="G57" s="85">
        <f>SUM(G50:G56)</f>
        <v>25</v>
      </c>
      <c r="H57" s="85">
        <f t="shared" ref="H57:Z57" si="8">SUM(H50:H56)</f>
        <v>2</v>
      </c>
      <c r="I57" s="85">
        <f t="shared" si="8"/>
        <v>0</v>
      </c>
      <c r="J57" s="85">
        <f t="shared" si="8"/>
        <v>0</v>
      </c>
      <c r="K57" s="85">
        <f t="shared" si="8"/>
        <v>0</v>
      </c>
      <c r="L57" s="85">
        <f t="shared" si="8"/>
        <v>0</v>
      </c>
      <c r="M57" s="85">
        <f t="shared" si="8"/>
        <v>0</v>
      </c>
      <c r="N57" s="85">
        <f t="shared" si="8"/>
        <v>0</v>
      </c>
      <c r="O57" s="85">
        <f t="shared" si="8"/>
        <v>0</v>
      </c>
      <c r="P57" s="85">
        <f t="shared" si="8"/>
        <v>2</v>
      </c>
      <c r="Q57" s="85">
        <f t="shared" si="8"/>
        <v>0</v>
      </c>
      <c r="R57" s="85">
        <f t="shared" si="8"/>
        <v>0</v>
      </c>
      <c r="S57" s="85">
        <f t="shared" si="8"/>
        <v>0</v>
      </c>
      <c r="T57" s="85">
        <f t="shared" si="8"/>
        <v>0</v>
      </c>
      <c r="U57" s="85">
        <f t="shared" si="8"/>
        <v>0</v>
      </c>
      <c r="V57" s="85">
        <f t="shared" si="8"/>
        <v>0</v>
      </c>
      <c r="W57" s="85">
        <f t="shared" si="8"/>
        <v>0</v>
      </c>
      <c r="X57" s="85">
        <f t="shared" si="8"/>
        <v>0</v>
      </c>
      <c r="Y57" s="85">
        <f t="shared" si="8"/>
        <v>0</v>
      </c>
      <c r="Z57" s="85">
        <f t="shared" si="8"/>
        <v>0</v>
      </c>
      <c r="AA57" s="86">
        <f>SUM(F57:Z57)</f>
        <v>29</v>
      </c>
      <c r="AB57" s="88">
        <f>SUM(AB50:AB56)</f>
        <v>121</v>
      </c>
      <c r="AC57" s="88">
        <f t="shared" ref="AC57:AG57" si="9">SUM(AC50:AC56)</f>
        <v>5</v>
      </c>
      <c r="AD57" s="88">
        <f t="shared" si="9"/>
        <v>8</v>
      </c>
      <c r="AE57" s="88">
        <f t="shared" si="9"/>
        <v>8</v>
      </c>
      <c r="AF57" s="88">
        <f t="shared" si="9"/>
        <v>0</v>
      </c>
      <c r="AG57" s="88">
        <f t="shared" si="9"/>
        <v>6</v>
      </c>
    </row>
    <row r="58" spans="2:33" s="2" customFormat="1" ht="49.5" customHeight="1" x14ac:dyDescent="0.25">
      <c r="B58" s="29" t="s">
        <v>78</v>
      </c>
      <c r="C58" s="27" t="s">
        <v>33</v>
      </c>
      <c r="D58" s="27" t="s">
        <v>160</v>
      </c>
      <c r="E58" s="27" t="s">
        <v>119</v>
      </c>
      <c r="F58" s="28">
        <v>0</v>
      </c>
      <c r="G58" s="31">
        <v>5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B58" s="35">
        <v>26</v>
      </c>
      <c r="AC58" s="35">
        <v>3</v>
      </c>
      <c r="AD58" s="35">
        <v>1</v>
      </c>
      <c r="AE58" s="35">
        <v>1</v>
      </c>
      <c r="AF58" s="35">
        <v>1</v>
      </c>
      <c r="AG58" s="35">
        <v>2</v>
      </c>
    </row>
    <row r="59" spans="2:33" s="2" customFormat="1" ht="49.5" customHeight="1" x14ac:dyDescent="0.25">
      <c r="B59" s="29" t="s">
        <v>78</v>
      </c>
      <c r="C59" s="27" t="s">
        <v>43</v>
      </c>
      <c r="D59" s="27" t="s">
        <v>164</v>
      </c>
      <c r="E59" s="27" t="s">
        <v>119</v>
      </c>
      <c r="F59" s="28">
        <v>0</v>
      </c>
      <c r="G59" s="31">
        <v>1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B59" s="32">
        <v>0</v>
      </c>
      <c r="AC59" s="32">
        <v>0</v>
      </c>
      <c r="AD59" s="32">
        <v>0</v>
      </c>
      <c r="AE59" s="32">
        <v>0</v>
      </c>
      <c r="AF59" s="32">
        <v>0</v>
      </c>
      <c r="AG59" s="32">
        <v>0</v>
      </c>
    </row>
    <row r="60" spans="2:33" s="2" customFormat="1" ht="44.25" customHeight="1" x14ac:dyDescent="0.25">
      <c r="B60" s="30" t="s">
        <v>78</v>
      </c>
      <c r="C60" s="27" t="s">
        <v>79</v>
      </c>
      <c r="D60" s="27" t="s">
        <v>161</v>
      </c>
      <c r="E60" s="27" t="s">
        <v>119</v>
      </c>
      <c r="F60" s="28">
        <v>0</v>
      </c>
      <c r="G60" s="36">
        <v>1</v>
      </c>
      <c r="H60" s="31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B60" s="32">
        <v>0</v>
      </c>
      <c r="AC60" s="32">
        <v>0</v>
      </c>
      <c r="AD60" s="32">
        <v>0</v>
      </c>
      <c r="AE60" s="32">
        <v>0</v>
      </c>
      <c r="AF60" s="32">
        <v>0</v>
      </c>
      <c r="AG60" s="32">
        <v>0</v>
      </c>
    </row>
    <row r="61" spans="2:33" s="2" customFormat="1" ht="44.25" customHeight="1" x14ac:dyDescent="0.25">
      <c r="B61" s="30" t="s">
        <v>78</v>
      </c>
      <c r="C61" s="27" t="s">
        <v>79</v>
      </c>
      <c r="D61" s="27" t="s">
        <v>162</v>
      </c>
      <c r="E61" s="27" t="s">
        <v>119</v>
      </c>
      <c r="F61" s="28">
        <v>0</v>
      </c>
      <c r="G61" s="36">
        <v>3</v>
      </c>
      <c r="H61" s="31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B61" s="35">
        <v>16</v>
      </c>
      <c r="AC61" s="32">
        <v>0</v>
      </c>
      <c r="AD61" s="35">
        <v>1</v>
      </c>
      <c r="AE61" s="35">
        <v>1</v>
      </c>
      <c r="AF61" s="35">
        <v>1</v>
      </c>
      <c r="AG61" s="35">
        <v>1</v>
      </c>
    </row>
    <row r="62" spans="2:33" s="2" customFormat="1" ht="44.25" customHeight="1" x14ac:dyDescent="0.25">
      <c r="B62" s="30" t="s">
        <v>78</v>
      </c>
      <c r="C62" s="27" t="s">
        <v>79</v>
      </c>
      <c r="D62" s="27" t="s">
        <v>163</v>
      </c>
      <c r="E62" s="27" t="s">
        <v>119</v>
      </c>
      <c r="F62" s="28">
        <v>0</v>
      </c>
      <c r="G62" s="36">
        <v>1</v>
      </c>
      <c r="H62" s="31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B62" s="32">
        <v>0</v>
      </c>
      <c r="AC62" s="32">
        <v>0</v>
      </c>
      <c r="AD62" s="32">
        <v>0</v>
      </c>
      <c r="AE62" s="32">
        <v>0</v>
      </c>
      <c r="AF62" s="32">
        <v>0</v>
      </c>
      <c r="AG62" s="32">
        <v>0</v>
      </c>
    </row>
    <row r="63" spans="2:33" s="2" customFormat="1" ht="44.25" customHeight="1" x14ac:dyDescent="0.25">
      <c r="B63" s="30" t="s">
        <v>78</v>
      </c>
      <c r="C63" s="27" t="s">
        <v>79</v>
      </c>
      <c r="D63" s="27" t="s">
        <v>80</v>
      </c>
      <c r="E63" s="27" t="s">
        <v>119</v>
      </c>
      <c r="F63" s="28">
        <v>0</v>
      </c>
      <c r="G63" s="36">
        <v>2</v>
      </c>
      <c r="H63" s="31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B63" s="35">
        <v>23</v>
      </c>
      <c r="AC63" s="32">
        <v>0</v>
      </c>
      <c r="AD63" s="35">
        <v>1</v>
      </c>
      <c r="AE63" s="35">
        <v>1</v>
      </c>
      <c r="AF63" s="35">
        <v>1</v>
      </c>
      <c r="AG63" s="35">
        <v>1</v>
      </c>
    </row>
    <row r="64" spans="2:33" s="2" customFormat="1" ht="49.5" customHeight="1" x14ac:dyDescent="0.25">
      <c r="B64" s="29" t="s">
        <v>78</v>
      </c>
      <c r="C64" s="27" t="s">
        <v>81</v>
      </c>
      <c r="D64" s="27" t="s">
        <v>82</v>
      </c>
      <c r="E64" s="27" t="s">
        <v>130</v>
      </c>
      <c r="F64" s="28">
        <v>0</v>
      </c>
      <c r="G64" s="31">
        <v>4</v>
      </c>
      <c r="H64" s="28">
        <v>0</v>
      </c>
      <c r="I64" s="28">
        <v>0</v>
      </c>
      <c r="J64" s="28">
        <v>0</v>
      </c>
      <c r="K64" s="28">
        <v>0</v>
      </c>
      <c r="L64" s="31">
        <v>1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31">
        <v>1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B64" s="35">
        <v>28</v>
      </c>
      <c r="AC64" s="35">
        <v>4</v>
      </c>
      <c r="AD64" s="35">
        <v>2</v>
      </c>
      <c r="AE64" s="35">
        <v>2</v>
      </c>
      <c r="AF64" s="35">
        <v>2</v>
      </c>
      <c r="AG64" s="35">
        <v>5</v>
      </c>
    </row>
    <row r="65" spans="2:33" s="2" customFormat="1" ht="49.5" customHeight="1" x14ac:dyDescent="0.25">
      <c r="B65" s="29" t="s">
        <v>78</v>
      </c>
      <c r="C65" s="27" t="s">
        <v>83</v>
      </c>
      <c r="D65" s="27" t="s">
        <v>141</v>
      </c>
      <c r="E65" s="27" t="s">
        <v>131</v>
      </c>
      <c r="F65" s="31">
        <v>2</v>
      </c>
      <c r="G65" s="31">
        <v>3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B65" s="35">
        <v>19</v>
      </c>
      <c r="AC65" s="35">
        <v>4</v>
      </c>
      <c r="AD65" s="35">
        <v>2</v>
      </c>
      <c r="AE65" s="35">
        <v>2</v>
      </c>
      <c r="AF65" s="35">
        <v>2</v>
      </c>
      <c r="AG65" s="35">
        <v>5</v>
      </c>
    </row>
    <row r="66" spans="2:33" s="2" customFormat="1" ht="44.25" customHeight="1" x14ac:dyDescent="0.25">
      <c r="B66" s="30" t="s">
        <v>78</v>
      </c>
      <c r="C66" s="27" t="s">
        <v>84</v>
      </c>
      <c r="D66" s="27" t="s">
        <v>85</v>
      </c>
      <c r="E66" s="27" t="s">
        <v>132</v>
      </c>
      <c r="F66" s="36">
        <v>1</v>
      </c>
      <c r="G66" s="36">
        <v>5</v>
      </c>
      <c r="H66" s="31">
        <v>1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B66" s="35">
        <v>67</v>
      </c>
      <c r="AC66" s="35">
        <v>2</v>
      </c>
      <c r="AD66" s="35">
        <v>3</v>
      </c>
      <c r="AE66" s="35">
        <v>3</v>
      </c>
      <c r="AF66" s="35">
        <v>1</v>
      </c>
      <c r="AG66" s="35">
        <v>3</v>
      </c>
    </row>
    <row r="67" spans="2:33" s="2" customFormat="1" ht="44.25" customHeight="1" x14ac:dyDescent="0.25">
      <c r="B67" s="30" t="s">
        <v>78</v>
      </c>
      <c r="C67" s="27" t="s">
        <v>84</v>
      </c>
      <c r="D67" s="27" t="s">
        <v>140</v>
      </c>
      <c r="E67" s="27" t="s">
        <v>132</v>
      </c>
      <c r="F67" s="28">
        <v>0</v>
      </c>
      <c r="G67" s="36">
        <v>1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B67" s="35">
        <v>8</v>
      </c>
      <c r="AC67" s="35">
        <v>1</v>
      </c>
      <c r="AD67" s="35">
        <v>1</v>
      </c>
      <c r="AE67" s="35">
        <v>1</v>
      </c>
      <c r="AF67" s="32">
        <v>0</v>
      </c>
      <c r="AG67" s="32">
        <v>0</v>
      </c>
    </row>
    <row r="68" spans="2:33" s="2" customFormat="1" ht="44.25" customHeight="1" x14ac:dyDescent="0.25">
      <c r="B68" s="30" t="s">
        <v>78</v>
      </c>
      <c r="C68" s="27" t="s">
        <v>84</v>
      </c>
      <c r="D68" s="27" t="s">
        <v>86</v>
      </c>
      <c r="E68" s="27" t="s">
        <v>132</v>
      </c>
      <c r="F68" s="28">
        <v>0</v>
      </c>
      <c r="G68" s="36">
        <v>2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B68" s="32">
        <v>0</v>
      </c>
      <c r="AC68" s="32">
        <v>0</v>
      </c>
      <c r="AD68" s="32">
        <v>0</v>
      </c>
      <c r="AE68" s="32">
        <v>0</v>
      </c>
      <c r="AF68" s="32">
        <v>0</v>
      </c>
      <c r="AG68" s="32">
        <v>0</v>
      </c>
    </row>
    <row r="69" spans="2:33" s="2" customFormat="1" ht="49.5" customHeight="1" x14ac:dyDescent="0.25">
      <c r="B69" s="29" t="s">
        <v>78</v>
      </c>
      <c r="C69" s="27" t="s">
        <v>87</v>
      </c>
      <c r="D69" s="27" t="s">
        <v>165</v>
      </c>
      <c r="E69" s="27" t="s">
        <v>132</v>
      </c>
      <c r="F69" s="28">
        <v>0</v>
      </c>
      <c r="G69" s="31">
        <v>2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B69" s="35">
        <v>13</v>
      </c>
      <c r="AC69" s="35">
        <v>3</v>
      </c>
      <c r="AD69" s="35">
        <v>1</v>
      </c>
      <c r="AE69" s="35">
        <v>1</v>
      </c>
      <c r="AF69" s="32">
        <v>0</v>
      </c>
      <c r="AG69" s="32">
        <v>0</v>
      </c>
    </row>
    <row r="70" spans="2:33" s="2" customFormat="1" ht="49.5" customHeight="1" x14ac:dyDescent="0.25">
      <c r="B70" s="29" t="s">
        <v>78</v>
      </c>
      <c r="C70" s="27" t="s">
        <v>87</v>
      </c>
      <c r="D70" s="27" t="s">
        <v>142</v>
      </c>
      <c r="E70" s="27" t="s">
        <v>132</v>
      </c>
      <c r="F70" s="28">
        <v>0</v>
      </c>
      <c r="G70" s="31">
        <v>1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B70" s="32">
        <v>0</v>
      </c>
      <c r="AC70" s="32">
        <v>0</v>
      </c>
      <c r="AD70" s="32">
        <v>0</v>
      </c>
      <c r="AE70" s="32">
        <v>0</v>
      </c>
      <c r="AF70" s="32">
        <v>0</v>
      </c>
      <c r="AG70" s="32">
        <v>0</v>
      </c>
    </row>
    <row r="71" spans="2:33" s="2" customFormat="1" ht="49.5" customHeight="1" x14ac:dyDescent="0.25">
      <c r="B71" s="29" t="s">
        <v>78</v>
      </c>
      <c r="C71" s="27" t="s">
        <v>87</v>
      </c>
      <c r="D71" s="27" t="s">
        <v>88</v>
      </c>
      <c r="E71" s="27" t="s">
        <v>133</v>
      </c>
      <c r="F71" s="28">
        <v>0</v>
      </c>
      <c r="G71" s="31">
        <v>3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31">
        <v>1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B71" s="35">
        <v>28</v>
      </c>
      <c r="AC71" s="35">
        <v>4</v>
      </c>
      <c r="AD71" s="32">
        <v>0</v>
      </c>
      <c r="AE71" s="32">
        <v>0</v>
      </c>
      <c r="AF71" s="35">
        <v>1</v>
      </c>
      <c r="AG71" s="35">
        <v>1</v>
      </c>
    </row>
    <row r="72" spans="2:33" s="2" customFormat="1" ht="49.5" customHeight="1" x14ac:dyDescent="0.25">
      <c r="B72" s="29" t="s">
        <v>78</v>
      </c>
      <c r="C72" s="27" t="s">
        <v>87</v>
      </c>
      <c r="D72" s="27" t="s">
        <v>192</v>
      </c>
      <c r="E72" s="27" t="s">
        <v>119</v>
      </c>
      <c r="F72" s="28">
        <v>0</v>
      </c>
      <c r="G72" s="31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31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B72" s="32">
        <v>0</v>
      </c>
      <c r="AC72" s="32">
        <v>0</v>
      </c>
      <c r="AD72" s="32">
        <v>0</v>
      </c>
      <c r="AE72" s="32">
        <v>0</v>
      </c>
      <c r="AF72" s="32">
        <v>0</v>
      </c>
      <c r="AG72" s="32">
        <v>0</v>
      </c>
    </row>
    <row r="73" spans="2:33" s="2" customFormat="1" ht="37.5" customHeight="1" x14ac:dyDescent="0.25">
      <c r="B73" s="30" t="s">
        <v>78</v>
      </c>
      <c r="C73" s="27" t="s">
        <v>89</v>
      </c>
      <c r="D73" s="27" t="s">
        <v>175</v>
      </c>
      <c r="E73" s="27" t="s">
        <v>120</v>
      </c>
      <c r="F73" s="33">
        <v>0</v>
      </c>
      <c r="G73" s="37">
        <v>3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34">
        <v>0</v>
      </c>
      <c r="V73" s="34">
        <v>0</v>
      </c>
      <c r="W73" s="34">
        <v>0</v>
      </c>
      <c r="X73" s="28">
        <v>0</v>
      </c>
      <c r="Y73" s="28">
        <v>0</v>
      </c>
      <c r="Z73" s="28">
        <v>0</v>
      </c>
      <c r="AB73" s="35">
        <v>24</v>
      </c>
      <c r="AC73" s="35">
        <v>1</v>
      </c>
      <c r="AD73" s="35">
        <v>1</v>
      </c>
      <c r="AE73" s="35">
        <v>1</v>
      </c>
      <c r="AF73" s="32">
        <v>0</v>
      </c>
      <c r="AG73" s="35">
        <v>4</v>
      </c>
    </row>
    <row r="74" spans="2:33" s="2" customFormat="1" ht="37.5" customHeight="1" x14ac:dyDescent="0.25">
      <c r="B74" s="30" t="s">
        <v>78</v>
      </c>
      <c r="C74" s="27" t="s">
        <v>89</v>
      </c>
      <c r="D74" s="27" t="s">
        <v>176</v>
      </c>
      <c r="E74" s="27" t="s">
        <v>118</v>
      </c>
      <c r="F74" s="33">
        <v>0</v>
      </c>
      <c r="G74" s="37">
        <v>1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34">
        <v>0</v>
      </c>
      <c r="V74" s="34">
        <v>0</v>
      </c>
      <c r="W74" s="34">
        <v>0</v>
      </c>
      <c r="X74" s="28">
        <v>0</v>
      </c>
      <c r="Y74" s="28">
        <v>0</v>
      </c>
      <c r="Z74" s="28">
        <v>0</v>
      </c>
      <c r="AB74" s="35">
        <v>8</v>
      </c>
      <c r="AC74" s="32">
        <v>0</v>
      </c>
      <c r="AD74" s="35">
        <v>1</v>
      </c>
      <c r="AE74" s="35">
        <v>1</v>
      </c>
      <c r="AF74" s="32">
        <v>0</v>
      </c>
      <c r="AG74" s="35">
        <v>2</v>
      </c>
    </row>
    <row r="75" spans="2:33" s="2" customFormat="1" ht="49.5" customHeight="1" x14ac:dyDescent="0.25">
      <c r="B75" s="29" t="s">
        <v>78</v>
      </c>
      <c r="C75" s="27" t="s">
        <v>90</v>
      </c>
      <c r="D75" s="27" t="s">
        <v>177</v>
      </c>
      <c r="E75" s="27" t="s">
        <v>116</v>
      </c>
      <c r="F75" s="28">
        <v>0</v>
      </c>
      <c r="G75" s="31">
        <v>3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B75" s="35">
        <v>9</v>
      </c>
      <c r="AC75" s="35">
        <v>2</v>
      </c>
      <c r="AD75" s="35">
        <v>1</v>
      </c>
      <c r="AE75" s="35">
        <v>1</v>
      </c>
      <c r="AF75" s="35">
        <v>1</v>
      </c>
      <c r="AG75" s="35">
        <v>2</v>
      </c>
    </row>
    <row r="76" spans="2:33" s="2" customFormat="1" ht="49.5" customHeight="1" x14ac:dyDescent="0.25">
      <c r="B76" s="29" t="s">
        <v>78</v>
      </c>
      <c r="C76" s="27" t="s">
        <v>91</v>
      </c>
      <c r="D76" s="27" t="s">
        <v>166</v>
      </c>
      <c r="E76" s="27" t="s">
        <v>117</v>
      </c>
      <c r="F76" s="28">
        <v>0</v>
      </c>
      <c r="G76" s="31">
        <v>3</v>
      </c>
      <c r="H76" s="28">
        <v>0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B76" s="35">
        <v>11</v>
      </c>
      <c r="AC76" s="35">
        <v>2</v>
      </c>
      <c r="AD76" s="35">
        <v>1</v>
      </c>
      <c r="AE76" s="35">
        <v>1</v>
      </c>
      <c r="AF76" s="32">
        <v>0</v>
      </c>
      <c r="AG76" s="35">
        <v>6</v>
      </c>
    </row>
    <row r="77" spans="2:33" s="2" customFormat="1" ht="49.5" customHeight="1" x14ac:dyDescent="0.25">
      <c r="B77" s="29" t="s">
        <v>78</v>
      </c>
      <c r="C77" s="27" t="s">
        <v>91</v>
      </c>
      <c r="D77" s="27" t="s">
        <v>199</v>
      </c>
      <c r="E77" s="27" t="s">
        <v>116</v>
      </c>
      <c r="F77" s="28">
        <v>0</v>
      </c>
      <c r="G77" s="31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31">
        <v>1</v>
      </c>
      <c r="X77" s="28">
        <v>0</v>
      </c>
      <c r="Y77" s="28">
        <v>0</v>
      </c>
      <c r="Z77" s="28">
        <v>0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32">
        <v>0</v>
      </c>
    </row>
    <row r="78" spans="2:33" s="2" customFormat="1" ht="49.5" customHeight="1" x14ac:dyDescent="0.25">
      <c r="B78" s="29" t="s">
        <v>78</v>
      </c>
      <c r="C78" s="27" t="s">
        <v>91</v>
      </c>
      <c r="D78" s="27" t="s">
        <v>92</v>
      </c>
      <c r="E78" s="27" t="s">
        <v>134</v>
      </c>
      <c r="F78" s="28">
        <v>0</v>
      </c>
      <c r="G78" s="31">
        <v>1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B78" s="35">
        <v>5</v>
      </c>
      <c r="AC78" s="35">
        <v>2</v>
      </c>
      <c r="AD78" s="35">
        <v>1</v>
      </c>
      <c r="AE78" s="35">
        <v>1</v>
      </c>
      <c r="AF78" s="32">
        <v>0</v>
      </c>
      <c r="AG78" s="35">
        <v>1</v>
      </c>
    </row>
    <row r="79" spans="2:33" s="2" customFormat="1" ht="44.25" customHeight="1" x14ac:dyDescent="0.25">
      <c r="B79" s="30" t="s">
        <v>78</v>
      </c>
      <c r="C79" s="27" t="s">
        <v>93</v>
      </c>
      <c r="D79" s="27" t="s">
        <v>167</v>
      </c>
      <c r="E79" s="27" t="s">
        <v>135</v>
      </c>
      <c r="F79" s="28">
        <v>0</v>
      </c>
      <c r="G79" s="36">
        <v>3</v>
      </c>
      <c r="H79" s="31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B79" s="35">
        <v>19</v>
      </c>
      <c r="AC79" s="32">
        <v>0</v>
      </c>
      <c r="AD79" s="35">
        <v>1</v>
      </c>
      <c r="AE79" s="35">
        <v>1</v>
      </c>
      <c r="AF79" s="32">
        <v>0</v>
      </c>
      <c r="AG79" s="35">
        <v>2</v>
      </c>
    </row>
    <row r="80" spans="2:33" s="2" customFormat="1" ht="44.25" customHeight="1" x14ac:dyDescent="0.25">
      <c r="B80" s="30" t="s">
        <v>78</v>
      </c>
      <c r="C80" s="27" t="s">
        <v>93</v>
      </c>
      <c r="D80" s="27" t="s">
        <v>194</v>
      </c>
      <c r="E80" s="27" t="s">
        <v>136</v>
      </c>
      <c r="F80" s="28">
        <v>0</v>
      </c>
      <c r="G80" s="36">
        <v>2</v>
      </c>
      <c r="H80" s="31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B80" s="35">
        <v>16</v>
      </c>
      <c r="AC80" s="32">
        <v>0</v>
      </c>
      <c r="AD80" s="35">
        <v>1</v>
      </c>
      <c r="AE80" s="35">
        <v>1</v>
      </c>
      <c r="AF80" s="32">
        <v>0</v>
      </c>
      <c r="AG80" s="32">
        <v>0</v>
      </c>
    </row>
    <row r="81" spans="2:33" s="2" customFormat="1" ht="44.25" customHeight="1" x14ac:dyDescent="0.25">
      <c r="B81" s="30" t="s">
        <v>78</v>
      </c>
      <c r="C81" s="27" t="s">
        <v>93</v>
      </c>
      <c r="D81" s="27" t="s">
        <v>143</v>
      </c>
      <c r="E81" s="27" t="s">
        <v>122</v>
      </c>
      <c r="F81" s="28">
        <v>0</v>
      </c>
      <c r="G81" s="36">
        <v>3</v>
      </c>
      <c r="H81" s="31">
        <v>0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B81" s="35">
        <v>15</v>
      </c>
      <c r="AC81" s="32">
        <v>0</v>
      </c>
      <c r="AD81" s="35">
        <v>1</v>
      </c>
      <c r="AE81" s="35">
        <v>1</v>
      </c>
      <c r="AF81" s="32">
        <v>0</v>
      </c>
      <c r="AG81" s="35">
        <v>2</v>
      </c>
    </row>
    <row r="82" spans="2:33" s="2" customFormat="1" ht="44.25" customHeight="1" x14ac:dyDescent="0.25">
      <c r="B82" s="30" t="s">
        <v>78</v>
      </c>
      <c r="C82" s="27" t="s">
        <v>93</v>
      </c>
      <c r="D82" s="27" t="s">
        <v>94</v>
      </c>
      <c r="E82" s="27" t="s">
        <v>137</v>
      </c>
      <c r="F82" s="28">
        <v>0</v>
      </c>
      <c r="G82" s="36">
        <v>1</v>
      </c>
      <c r="H82" s="31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B82" s="35">
        <v>22</v>
      </c>
      <c r="AC82" s="35">
        <v>4</v>
      </c>
      <c r="AD82" s="35">
        <v>1</v>
      </c>
      <c r="AE82" s="35">
        <v>1</v>
      </c>
      <c r="AF82" s="32">
        <v>0</v>
      </c>
      <c r="AG82" s="35">
        <v>4</v>
      </c>
    </row>
    <row r="83" spans="2:33" s="2" customFormat="1" ht="49.5" customHeight="1" x14ac:dyDescent="0.25">
      <c r="B83" s="29" t="s">
        <v>78</v>
      </c>
      <c r="C83" s="27" t="s">
        <v>95</v>
      </c>
      <c r="D83" s="27" t="s">
        <v>193</v>
      </c>
      <c r="E83" s="27" t="s">
        <v>138</v>
      </c>
      <c r="F83" s="28">
        <v>0</v>
      </c>
      <c r="G83" s="31">
        <v>5</v>
      </c>
      <c r="H83" s="31">
        <v>1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B83" s="35">
        <v>8</v>
      </c>
      <c r="AC83" s="35">
        <v>2</v>
      </c>
      <c r="AD83" s="35">
        <v>1</v>
      </c>
      <c r="AE83" s="35">
        <v>1</v>
      </c>
      <c r="AF83" s="32">
        <v>0</v>
      </c>
      <c r="AG83" s="32">
        <v>0</v>
      </c>
    </row>
    <row r="84" spans="2:33" s="2" customFormat="1" ht="49.5" customHeight="1" x14ac:dyDescent="0.25">
      <c r="B84" s="29" t="s">
        <v>78</v>
      </c>
      <c r="C84" s="27" t="s">
        <v>95</v>
      </c>
      <c r="D84" s="27" t="s">
        <v>168</v>
      </c>
      <c r="E84" s="27" t="s">
        <v>138</v>
      </c>
      <c r="F84" s="28">
        <v>0</v>
      </c>
      <c r="G84" s="31">
        <v>1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58">
        <f>+AA85*1</f>
        <v>1029073110.9627131</v>
      </c>
      <c r="AB84" s="35">
        <v>12</v>
      </c>
      <c r="AC84" s="32">
        <v>0</v>
      </c>
      <c r="AD84" s="35">
        <v>1</v>
      </c>
      <c r="AE84" s="35">
        <v>1</v>
      </c>
      <c r="AF84" s="32">
        <v>0</v>
      </c>
      <c r="AG84" s="32">
        <v>0</v>
      </c>
    </row>
    <row r="85" spans="2:33" s="2" customFormat="1" ht="49.5" customHeight="1" x14ac:dyDescent="0.25">
      <c r="B85" s="29" t="s">
        <v>78</v>
      </c>
      <c r="C85" s="27" t="s">
        <v>95</v>
      </c>
      <c r="D85" s="27" t="s">
        <v>139</v>
      </c>
      <c r="E85" s="27" t="s">
        <v>197</v>
      </c>
      <c r="F85" s="28">
        <v>0</v>
      </c>
      <c r="G85" s="31">
        <v>2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58">
        <f>+(F86*F97)+(G86*G97)+(H86*H97)+(L86*L97)+(P86*P97)+(U86*U97)+(W86*W97)</f>
        <v>1029073110.9627131</v>
      </c>
      <c r="AB85" s="32">
        <v>0</v>
      </c>
      <c r="AC85" s="32">
        <v>0</v>
      </c>
      <c r="AD85" s="32">
        <v>0</v>
      </c>
      <c r="AE85" s="32">
        <v>0</v>
      </c>
      <c r="AF85" s="32">
        <v>0</v>
      </c>
      <c r="AG85" s="32">
        <v>0</v>
      </c>
    </row>
    <row r="86" spans="2:33" s="53" customFormat="1" ht="25.5" customHeight="1" x14ac:dyDescent="0.25">
      <c r="B86" s="165" t="s">
        <v>96</v>
      </c>
      <c r="C86" s="165"/>
      <c r="D86" s="165"/>
      <c r="E86" s="165"/>
      <c r="F86" s="85">
        <f t="shared" ref="F86:Z86" si="10">SUM(F58:F85)</f>
        <v>3</v>
      </c>
      <c r="G86" s="85">
        <f t="shared" si="10"/>
        <v>62</v>
      </c>
      <c r="H86" s="85">
        <f t="shared" si="10"/>
        <v>2</v>
      </c>
      <c r="I86" s="85">
        <f t="shared" si="10"/>
        <v>0</v>
      </c>
      <c r="J86" s="85">
        <f t="shared" si="10"/>
        <v>0</v>
      </c>
      <c r="K86" s="85">
        <f t="shared" si="10"/>
        <v>0</v>
      </c>
      <c r="L86" s="85">
        <f t="shared" si="10"/>
        <v>1</v>
      </c>
      <c r="M86" s="85">
        <f t="shared" si="10"/>
        <v>0</v>
      </c>
      <c r="N86" s="85">
        <f t="shared" si="10"/>
        <v>0</v>
      </c>
      <c r="O86" s="85">
        <f t="shared" si="10"/>
        <v>0</v>
      </c>
      <c r="P86" s="85">
        <f t="shared" si="10"/>
        <v>2</v>
      </c>
      <c r="Q86" s="85">
        <f t="shared" si="10"/>
        <v>0</v>
      </c>
      <c r="R86" s="85">
        <f t="shared" si="10"/>
        <v>0</v>
      </c>
      <c r="S86" s="85">
        <f t="shared" si="10"/>
        <v>0</v>
      </c>
      <c r="T86" s="85">
        <f t="shared" si="10"/>
        <v>0</v>
      </c>
      <c r="U86" s="85">
        <f t="shared" si="10"/>
        <v>1</v>
      </c>
      <c r="V86" s="85">
        <f t="shared" si="10"/>
        <v>0</v>
      </c>
      <c r="W86" s="85">
        <f t="shared" si="10"/>
        <v>1</v>
      </c>
      <c r="X86" s="85">
        <f t="shared" si="10"/>
        <v>0</v>
      </c>
      <c r="Y86" s="85">
        <f t="shared" si="10"/>
        <v>0</v>
      </c>
      <c r="Z86" s="85">
        <f t="shared" si="10"/>
        <v>0</v>
      </c>
      <c r="AA86" s="86">
        <f>SUM(F86:Z86)</f>
        <v>72</v>
      </c>
      <c r="AB86" s="89">
        <f t="shared" ref="AB86:AG86" si="11">SUM(AB58:AB85)</f>
        <v>377</v>
      </c>
      <c r="AC86" s="89">
        <f t="shared" si="11"/>
        <v>34</v>
      </c>
      <c r="AD86" s="89">
        <f t="shared" si="11"/>
        <v>23</v>
      </c>
      <c r="AE86" s="89">
        <f t="shared" si="11"/>
        <v>23</v>
      </c>
      <c r="AF86" s="89">
        <f t="shared" si="11"/>
        <v>10</v>
      </c>
      <c r="AG86" s="89">
        <f t="shared" si="11"/>
        <v>41</v>
      </c>
    </row>
    <row r="87" spans="2:33" s="54" customFormat="1" ht="6" customHeight="1" x14ac:dyDescent="0.25">
      <c r="B87" s="55"/>
      <c r="C87" s="55"/>
      <c r="D87" s="55"/>
      <c r="E87" s="55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7"/>
    </row>
    <row r="88" spans="2:33" s="4" customFormat="1" ht="35.25" customHeight="1" x14ac:dyDescent="0.25">
      <c r="B88" s="3"/>
      <c r="C88" s="3"/>
      <c r="D88" s="3"/>
      <c r="E88" s="90" t="s">
        <v>97</v>
      </c>
      <c r="F88" s="91">
        <f t="shared" ref="F88:Z88" si="12">+F12+F18+F33+F49+F57+F86</f>
        <v>9</v>
      </c>
      <c r="G88" s="91">
        <f t="shared" si="12"/>
        <v>167</v>
      </c>
      <c r="H88" s="91">
        <f t="shared" si="12"/>
        <v>7</v>
      </c>
      <c r="I88" s="91">
        <f t="shared" si="12"/>
        <v>0</v>
      </c>
      <c r="J88" s="91">
        <f t="shared" si="12"/>
        <v>0</v>
      </c>
      <c r="K88" s="91">
        <f t="shared" si="12"/>
        <v>0</v>
      </c>
      <c r="L88" s="91">
        <f t="shared" si="12"/>
        <v>2</v>
      </c>
      <c r="M88" s="91">
        <f t="shared" si="12"/>
        <v>1</v>
      </c>
      <c r="N88" s="91">
        <f t="shared" si="12"/>
        <v>0</v>
      </c>
      <c r="O88" s="91">
        <f t="shared" si="12"/>
        <v>1</v>
      </c>
      <c r="P88" s="91">
        <f t="shared" si="12"/>
        <v>6</v>
      </c>
      <c r="Q88" s="91">
        <f t="shared" si="12"/>
        <v>4</v>
      </c>
      <c r="R88" s="91">
        <f t="shared" si="12"/>
        <v>0</v>
      </c>
      <c r="S88" s="91">
        <f t="shared" si="12"/>
        <v>0</v>
      </c>
      <c r="T88" s="91">
        <f t="shared" si="12"/>
        <v>0</v>
      </c>
      <c r="U88" s="91">
        <f t="shared" si="12"/>
        <v>1</v>
      </c>
      <c r="V88" s="91">
        <f t="shared" si="12"/>
        <v>1</v>
      </c>
      <c r="W88" s="91">
        <f t="shared" si="12"/>
        <v>1</v>
      </c>
      <c r="X88" s="91">
        <f t="shared" si="12"/>
        <v>1</v>
      </c>
      <c r="Y88" s="91">
        <f t="shared" si="12"/>
        <v>2</v>
      </c>
      <c r="Z88" s="91">
        <f t="shared" si="12"/>
        <v>0</v>
      </c>
      <c r="AA88" s="51"/>
      <c r="AB88" s="92">
        <f t="shared" ref="AB88:AG88" si="13">+AB12+AB18+AB33+AB49+AB57+AB86</f>
        <v>888</v>
      </c>
      <c r="AC88" s="92">
        <f t="shared" si="13"/>
        <v>99</v>
      </c>
      <c r="AD88" s="92">
        <f t="shared" si="13"/>
        <v>63</v>
      </c>
      <c r="AE88" s="92">
        <f t="shared" si="13"/>
        <v>61</v>
      </c>
      <c r="AF88" s="92">
        <f t="shared" si="13"/>
        <v>17</v>
      </c>
      <c r="AG88" s="92">
        <f t="shared" si="13"/>
        <v>94</v>
      </c>
    </row>
    <row r="89" spans="2:33" s="4" customFormat="1" ht="20.25" customHeight="1" x14ac:dyDescent="0.25">
      <c r="B89" s="3"/>
      <c r="C89" s="5"/>
      <c r="D89" s="5"/>
      <c r="E89" s="65" t="s">
        <v>98</v>
      </c>
      <c r="F89" s="66">
        <v>3</v>
      </c>
      <c r="G89" s="66">
        <v>3</v>
      </c>
      <c r="H89" s="66">
        <v>3</v>
      </c>
      <c r="I89" s="66">
        <v>3</v>
      </c>
      <c r="J89" s="66">
        <v>3</v>
      </c>
      <c r="K89" s="66">
        <v>3</v>
      </c>
      <c r="L89" s="66">
        <v>2</v>
      </c>
      <c r="M89" s="66">
        <v>2</v>
      </c>
      <c r="N89" s="66">
        <v>2</v>
      </c>
      <c r="O89" s="66">
        <v>1.5</v>
      </c>
      <c r="P89" s="67">
        <v>1.5</v>
      </c>
      <c r="Q89" s="67">
        <v>1.5</v>
      </c>
      <c r="R89" s="66">
        <v>1.5</v>
      </c>
      <c r="S89" s="66">
        <v>1.5</v>
      </c>
      <c r="T89" s="66">
        <v>1.5</v>
      </c>
      <c r="U89" s="66">
        <v>1</v>
      </c>
      <c r="V89" s="66">
        <v>1</v>
      </c>
      <c r="W89" s="66">
        <v>1</v>
      </c>
      <c r="X89" s="66">
        <v>1</v>
      </c>
      <c r="Y89" s="66">
        <v>1</v>
      </c>
      <c r="Z89" s="66">
        <v>1</v>
      </c>
      <c r="AA89" s="52"/>
    </row>
    <row r="90" spans="2:33" s="4" customFormat="1" ht="20.25" customHeight="1" x14ac:dyDescent="0.25">
      <c r="B90" s="3"/>
      <c r="C90" s="5"/>
      <c r="D90" s="5"/>
      <c r="E90" s="65" t="s">
        <v>99</v>
      </c>
      <c r="F90" s="66">
        <f>F89*F88</f>
        <v>27</v>
      </c>
      <c r="G90" s="66">
        <f t="shared" ref="G90:Z90" si="14">G89*G88</f>
        <v>501</v>
      </c>
      <c r="H90" s="66">
        <f t="shared" si="14"/>
        <v>21</v>
      </c>
      <c r="I90" s="66">
        <f t="shared" si="14"/>
        <v>0</v>
      </c>
      <c r="J90" s="66">
        <f t="shared" si="14"/>
        <v>0</v>
      </c>
      <c r="K90" s="66">
        <f t="shared" si="14"/>
        <v>0</v>
      </c>
      <c r="L90" s="66">
        <f t="shared" si="14"/>
        <v>4</v>
      </c>
      <c r="M90" s="66">
        <f t="shared" si="14"/>
        <v>2</v>
      </c>
      <c r="N90" s="66">
        <f t="shared" si="14"/>
        <v>0</v>
      </c>
      <c r="O90" s="66">
        <f t="shared" si="14"/>
        <v>1.5</v>
      </c>
      <c r="P90" s="67">
        <f t="shared" si="14"/>
        <v>9</v>
      </c>
      <c r="Q90" s="67">
        <f t="shared" si="14"/>
        <v>6</v>
      </c>
      <c r="R90" s="67">
        <f t="shared" si="14"/>
        <v>0</v>
      </c>
      <c r="S90" s="67">
        <f t="shared" si="14"/>
        <v>0</v>
      </c>
      <c r="T90" s="67">
        <f t="shared" si="14"/>
        <v>0</v>
      </c>
      <c r="U90" s="66">
        <f t="shared" si="14"/>
        <v>1</v>
      </c>
      <c r="V90" s="66">
        <f t="shared" si="14"/>
        <v>1</v>
      </c>
      <c r="W90" s="66">
        <f t="shared" si="14"/>
        <v>1</v>
      </c>
      <c r="X90" s="66">
        <f t="shared" si="14"/>
        <v>1</v>
      </c>
      <c r="Y90" s="66">
        <f t="shared" si="14"/>
        <v>2</v>
      </c>
      <c r="Z90" s="66">
        <f t="shared" si="14"/>
        <v>0</v>
      </c>
      <c r="AA90" s="51"/>
    </row>
    <row r="91" spans="2:33" s="4" customFormat="1" ht="35.25" customHeight="1" x14ac:dyDescent="0.25">
      <c r="B91" s="3"/>
      <c r="C91" s="5"/>
      <c r="D91" s="5"/>
      <c r="E91" s="65" t="s">
        <v>100</v>
      </c>
      <c r="F91" s="68">
        <v>3000</v>
      </c>
      <c r="G91" s="68">
        <f>$F$91</f>
        <v>3000</v>
      </c>
      <c r="H91" s="68">
        <f t="shared" ref="H91:Z91" si="15">$F$91</f>
        <v>3000</v>
      </c>
      <c r="I91" s="68">
        <f t="shared" si="15"/>
        <v>3000</v>
      </c>
      <c r="J91" s="68">
        <f t="shared" si="15"/>
        <v>3000</v>
      </c>
      <c r="K91" s="68">
        <f t="shared" si="15"/>
        <v>3000</v>
      </c>
      <c r="L91" s="68">
        <f t="shared" si="15"/>
        <v>3000</v>
      </c>
      <c r="M91" s="68">
        <f t="shared" si="15"/>
        <v>3000</v>
      </c>
      <c r="N91" s="68">
        <f t="shared" si="15"/>
        <v>3000</v>
      </c>
      <c r="O91" s="68">
        <f t="shared" si="15"/>
        <v>3000</v>
      </c>
      <c r="P91" s="68">
        <f t="shared" si="15"/>
        <v>3000</v>
      </c>
      <c r="Q91" s="68">
        <f t="shared" si="15"/>
        <v>3000</v>
      </c>
      <c r="R91" s="68">
        <f t="shared" si="15"/>
        <v>3000</v>
      </c>
      <c r="S91" s="68">
        <f t="shared" si="15"/>
        <v>3000</v>
      </c>
      <c r="T91" s="68">
        <f t="shared" si="15"/>
        <v>3000</v>
      </c>
      <c r="U91" s="68">
        <f t="shared" si="15"/>
        <v>3000</v>
      </c>
      <c r="V91" s="68">
        <f t="shared" si="15"/>
        <v>3000</v>
      </c>
      <c r="W91" s="68">
        <f t="shared" si="15"/>
        <v>3000</v>
      </c>
      <c r="X91" s="68">
        <f t="shared" si="15"/>
        <v>3000</v>
      </c>
      <c r="Y91" s="68">
        <f t="shared" si="15"/>
        <v>3000</v>
      </c>
      <c r="Z91" s="68">
        <f t="shared" si="15"/>
        <v>3000</v>
      </c>
      <c r="AA91" s="6"/>
    </row>
    <row r="92" spans="2:33" s="4" customFormat="1" ht="37.5" customHeight="1" x14ac:dyDescent="0.25">
      <c r="B92" s="3"/>
      <c r="C92" s="5"/>
      <c r="D92" s="5"/>
      <c r="E92" s="69" t="s">
        <v>101</v>
      </c>
      <c r="F92" s="70">
        <f>F91*F90</f>
        <v>81000</v>
      </c>
      <c r="G92" s="70">
        <f t="shared" ref="G92:Z92" si="16">G91*G90</f>
        <v>1503000</v>
      </c>
      <c r="H92" s="70">
        <f t="shared" si="16"/>
        <v>63000</v>
      </c>
      <c r="I92" s="70">
        <f t="shared" si="16"/>
        <v>0</v>
      </c>
      <c r="J92" s="70">
        <f t="shared" si="16"/>
        <v>0</v>
      </c>
      <c r="K92" s="70">
        <f t="shared" si="16"/>
        <v>0</v>
      </c>
      <c r="L92" s="70">
        <f t="shared" si="16"/>
        <v>12000</v>
      </c>
      <c r="M92" s="70">
        <f t="shared" si="16"/>
        <v>6000</v>
      </c>
      <c r="N92" s="70">
        <f t="shared" si="16"/>
        <v>0</v>
      </c>
      <c r="O92" s="70">
        <f t="shared" si="16"/>
        <v>4500</v>
      </c>
      <c r="P92" s="70">
        <f t="shared" si="16"/>
        <v>27000</v>
      </c>
      <c r="Q92" s="70">
        <f t="shared" si="16"/>
        <v>18000</v>
      </c>
      <c r="R92" s="70">
        <f t="shared" si="16"/>
        <v>0</v>
      </c>
      <c r="S92" s="70">
        <f t="shared" si="16"/>
        <v>0</v>
      </c>
      <c r="T92" s="70">
        <f t="shared" si="16"/>
        <v>0</v>
      </c>
      <c r="U92" s="70">
        <f t="shared" si="16"/>
        <v>3000</v>
      </c>
      <c r="V92" s="70">
        <f t="shared" si="16"/>
        <v>3000</v>
      </c>
      <c r="W92" s="70">
        <f t="shared" si="16"/>
        <v>3000</v>
      </c>
      <c r="X92" s="70">
        <f t="shared" si="16"/>
        <v>3000</v>
      </c>
      <c r="Y92" s="70">
        <f t="shared" si="16"/>
        <v>6000</v>
      </c>
      <c r="Z92" s="70">
        <f t="shared" si="16"/>
        <v>0</v>
      </c>
      <c r="AA92" s="50"/>
    </row>
    <row r="94" spans="2:33" ht="20.25" customHeight="1" x14ac:dyDescent="0.25">
      <c r="C94" s="12"/>
      <c r="D94" s="12"/>
      <c r="E94" s="47" t="s">
        <v>102</v>
      </c>
      <c r="F94" s="45">
        <f>((9.53*1423500)+(500*3))</f>
        <v>13567455</v>
      </c>
      <c r="G94" s="45">
        <f>(9.53*1423500+(500*3))</f>
        <v>13567455</v>
      </c>
      <c r="H94" s="45">
        <f>(9.53*1423500+(500*3))</f>
        <v>13567455</v>
      </c>
      <c r="I94" s="45">
        <f>(9.29*1423500+(500*3))</f>
        <v>13225814.999999998</v>
      </c>
      <c r="J94" s="45">
        <f>(9.29*1423500+(500*3))/30*20</f>
        <v>8817209.9999999981</v>
      </c>
      <c r="K94" s="45">
        <f>(9.29*1423500+(500*3))/30*24</f>
        <v>10580651.999999998</v>
      </c>
      <c r="L94" s="45">
        <f>(((9.53*1423500+(500*3))*55.97%)+((9.53*1423500+(500*3))*44.03%/9*1))</f>
        <v>8257454.6119999997</v>
      </c>
      <c r="M94" s="45">
        <f>(((9.53*1423500+(500*3))*55.97%)+((9.53*1423500+(500*3))*44.03%/9*1))/30*20</f>
        <v>5504969.7413333328</v>
      </c>
      <c r="N94" s="45">
        <f>(((9.29*1423500+(500*3))*55.97%)+((9.29*1423500+(500*3))*44.03%/9*1))/30*24</f>
        <v>6439619.9327999987</v>
      </c>
      <c r="O94" s="45">
        <f>((9.53*1423500+(500*3))*55.97%/15*12)</f>
        <v>6074963.650799999</v>
      </c>
      <c r="P94" s="45">
        <f>((9.53*1423500+(500*3))*55.97%/15*12)/30*20</f>
        <v>4049975.7671999997</v>
      </c>
      <c r="Q94" s="45">
        <f>((9.53*1423500+(500*3))*55.97%/15*12)/30*24</f>
        <v>4859970.9206399992</v>
      </c>
      <c r="R94" s="45">
        <f>(((9.29*1423500+(500*3))*55.97%/15*3)+((9.29*1423500+(500*3))*44.03%/9*9))</f>
        <v>7303824.0755999992</v>
      </c>
      <c r="S94" s="45">
        <f>((((9.29*1423500+(500*3))*55.97%/15*3)+((9.29*1423500+(500*3))*44.03%/9*9))/30)*24</f>
        <v>5843059.2604799997</v>
      </c>
      <c r="T94" s="45">
        <f>(((9.29*1423500+(500*3))*55.97%/15*3)+((9.29*1423500+(500*3))*44.03%/9*9))</f>
        <v>7303824.0755999992</v>
      </c>
      <c r="U94" s="45">
        <f>((9.53*1423500+(500*3))*44.03%/9*8)</f>
        <v>5310000.3880000003</v>
      </c>
      <c r="V94" s="45">
        <f>((9.53*1423500+(500*3))*44.03%/9*8)</f>
        <v>5310000.3880000003</v>
      </c>
      <c r="W94" s="45">
        <f>(9.53*1423500+(500*3))*44.03%/9*8/30*20</f>
        <v>3540000.2586666672</v>
      </c>
      <c r="X94" s="45">
        <f>(9.53*1423500+(500*3))*55.97%/15*8/30*24</f>
        <v>3239980.6137599992</v>
      </c>
      <c r="Y94" s="45">
        <f>(9.53*1423500+(500*3))*55.97%/15*8/30*20</f>
        <v>2699983.8447999996</v>
      </c>
      <c r="Z94" s="45">
        <f>((9.53*1423500+(500*3))*55.97%/15*8)</f>
        <v>4049975.7671999997</v>
      </c>
      <c r="AB94" s="45">
        <v>11227</v>
      </c>
      <c r="AC94" s="45">
        <v>43635</v>
      </c>
      <c r="AD94" s="45">
        <v>55898</v>
      </c>
      <c r="AE94" s="45">
        <v>40588</v>
      </c>
      <c r="AF94" s="45">
        <v>127990</v>
      </c>
      <c r="AG94" s="45">
        <v>43069</v>
      </c>
    </row>
    <row r="95" spans="2:33" ht="20.25" customHeight="1" x14ac:dyDescent="0.25">
      <c r="C95" s="12"/>
      <c r="D95" s="12"/>
      <c r="E95" s="47" t="s">
        <v>103</v>
      </c>
      <c r="F95" s="45">
        <f>+F94*0.1</f>
        <v>1356745.5</v>
      </c>
      <c r="G95" s="45">
        <f>+G94*0.08</f>
        <v>1085396.3999999999</v>
      </c>
      <c r="H95" s="45">
        <f t="shared" ref="H95:Z95" si="17">+H94*0.08</f>
        <v>1085396.3999999999</v>
      </c>
      <c r="I95" s="45">
        <f>+I94*0.11</f>
        <v>1454839.65</v>
      </c>
      <c r="J95" s="45">
        <f t="shared" si="17"/>
        <v>705376.79999999981</v>
      </c>
      <c r="K95" s="45">
        <f t="shared" si="17"/>
        <v>846452.15999999992</v>
      </c>
      <c r="L95" s="45">
        <f t="shared" si="17"/>
        <v>660596.36895999999</v>
      </c>
      <c r="M95" s="45">
        <f t="shared" si="17"/>
        <v>440397.57930666662</v>
      </c>
      <c r="N95" s="45">
        <f t="shared" si="17"/>
        <v>515169.5946239999</v>
      </c>
      <c r="O95" s="45">
        <f t="shared" si="17"/>
        <v>485997.09206399991</v>
      </c>
      <c r="P95" s="45">
        <f t="shared" si="17"/>
        <v>323998.061376</v>
      </c>
      <c r="Q95" s="45">
        <f t="shared" si="17"/>
        <v>388797.67365119996</v>
      </c>
      <c r="R95" s="45">
        <f t="shared" si="17"/>
        <v>584305.92604799999</v>
      </c>
      <c r="S95" s="45">
        <f t="shared" si="17"/>
        <v>467444.74083839997</v>
      </c>
      <c r="T95" s="45">
        <f>+T94*0.1</f>
        <v>730382.40755999996</v>
      </c>
      <c r="U95" s="45">
        <f>+U94*0.1</f>
        <v>531000.0388000001</v>
      </c>
      <c r="V95" s="45">
        <f t="shared" si="17"/>
        <v>424800.03104000003</v>
      </c>
      <c r="W95" s="45">
        <f t="shared" si="17"/>
        <v>283200.02069333335</v>
      </c>
      <c r="X95" s="45">
        <f t="shared" si="17"/>
        <v>259198.44910079995</v>
      </c>
      <c r="Y95" s="45">
        <f t="shared" si="17"/>
        <v>215998.70758399996</v>
      </c>
      <c r="Z95" s="45">
        <f t="shared" si="17"/>
        <v>323998.061376</v>
      </c>
      <c r="AB95" s="45">
        <v>0</v>
      </c>
      <c r="AC95" s="45">
        <v>0</v>
      </c>
      <c r="AD95" s="45">
        <v>0</v>
      </c>
      <c r="AE95" s="45">
        <v>0</v>
      </c>
      <c r="AF95" s="45">
        <v>0</v>
      </c>
      <c r="AG95" s="45">
        <v>0</v>
      </c>
    </row>
    <row r="96" spans="2:33" ht="20.25" customHeight="1" x14ac:dyDescent="0.25">
      <c r="C96" s="12"/>
      <c r="D96" s="12"/>
      <c r="E96" s="47" t="s">
        <v>104</v>
      </c>
      <c r="F96" s="45">
        <f>+(F94+F95)*0.019</f>
        <v>283559.80949999997</v>
      </c>
      <c r="G96" s="45">
        <f t="shared" ref="G96:Z96" si="18">+(G94+G95)*0.019</f>
        <v>278404.17660000001</v>
      </c>
      <c r="H96" s="45">
        <f t="shared" si="18"/>
        <v>278404.17660000001</v>
      </c>
      <c r="I96" s="45">
        <f t="shared" si="18"/>
        <v>278932.43834999995</v>
      </c>
      <c r="J96" s="45">
        <f t="shared" si="18"/>
        <v>180929.14919999993</v>
      </c>
      <c r="K96" s="45">
        <f t="shared" si="18"/>
        <v>217114.97903999998</v>
      </c>
      <c r="L96" s="45">
        <f t="shared" si="18"/>
        <v>169442.96863824001</v>
      </c>
      <c r="M96" s="45">
        <f t="shared" si="18"/>
        <v>112961.97909215999</v>
      </c>
      <c r="N96" s="45">
        <f t="shared" si="18"/>
        <v>132141.00102105597</v>
      </c>
      <c r="O96" s="45">
        <f t="shared" si="18"/>
        <v>124658.25411441598</v>
      </c>
      <c r="P96" s="45">
        <f t="shared" si="18"/>
        <v>83105.502742943994</v>
      </c>
      <c r="Q96" s="45">
        <f t="shared" si="18"/>
        <v>99726.603291532781</v>
      </c>
      <c r="R96" s="45">
        <f t="shared" si="18"/>
        <v>149874.470031312</v>
      </c>
      <c r="S96" s="45">
        <f t="shared" si="18"/>
        <v>119899.5760250496</v>
      </c>
      <c r="T96" s="45">
        <f t="shared" si="18"/>
        <v>152649.92318003997</v>
      </c>
      <c r="U96" s="45">
        <f t="shared" si="18"/>
        <v>110979.0081092</v>
      </c>
      <c r="V96" s="45">
        <f t="shared" si="18"/>
        <v>108961.20796176</v>
      </c>
      <c r="W96" s="45">
        <f t="shared" si="18"/>
        <v>72640.805307840012</v>
      </c>
      <c r="X96" s="45">
        <f t="shared" si="18"/>
        <v>66484.402194355178</v>
      </c>
      <c r="Y96" s="45">
        <f t="shared" si="18"/>
        <v>55403.668495295984</v>
      </c>
      <c r="Z96" s="45">
        <f t="shared" si="18"/>
        <v>83105.502742943994</v>
      </c>
      <c r="AB96" s="45">
        <f>+AB94*0.19</f>
        <v>2133.13</v>
      </c>
      <c r="AC96" s="45">
        <f t="shared" ref="AC96:AG96" si="19">+AC94*0.19</f>
        <v>8290.65</v>
      </c>
      <c r="AD96" s="45">
        <f t="shared" si="19"/>
        <v>10620.62</v>
      </c>
      <c r="AE96" s="45">
        <f t="shared" si="19"/>
        <v>7711.72</v>
      </c>
      <c r="AF96" s="45">
        <f t="shared" si="19"/>
        <v>24318.1</v>
      </c>
      <c r="AG96" s="45">
        <f t="shared" si="19"/>
        <v>8183.11</v>
      </c>
    </row>
    <row r="97" spans="2:33" ht="20.25" customHeight="1" x14ac:dyDescent="0.25">
      <c r="C97" s="12"/>
      <c r="D97" s="12"/>
      <c r="E97" s="48" t="s">
        <v>105</v>
      </c>
      <c r="F97" s="49">
        <f>+F94+F95+F96</f>
        <v>15207760.3095</v>
      </c>
      <c r="G97" s="49">
        <f>+G94+G95+G96</f>
        <v>14931255.5766</v>
      </c>
      <c r="H97" s="49">
        <f t="shared" ref="H97:Z97" si="20">+H94+H95+H96</f>
        <v>14931255.5766</v>
      </c>
      <c r="I97" s="49">
        <f t="shared" si="20"/>
        <v>14959587.088349998</v>
      </c>
      <c r="J97" s="49">
        <f t="shared" si="20"/>
        <v>9703515.9491999969</v>
      </c>
      <c r="K97" s="49">
        <f t="shared" si="20"/>
        <v>11644219.139039999</v>
      </c>
      <c r="L97" s="49">
        <f>+L94+L95+L96</f>
        <v>9087493.9495982397</v>
      </c>
      <c r="M97" s="49">
        <f t="shared" si="20"/>
        <v>6058329.2997321598</v>
      </c>
      <c r="N97" s="49">
        <f t="shared" si="20"/>
        <v>7086930.5284450538</v>
      </c>
      <c r="O97" s="49">
        <f t="shared" si="20"/>
        <v>6685618.9969784152</v>
      </c>
      <c r="P97" s="49">
        <f t="shared" si="20"/>
        <v>4457079.3313189438</v>
      </c>
      <c r="Q97" s="49">
        <f t="shared" si="20"/>
        <v>5348495.197582732</v>
      </c>
      <c r="R97" s="49">
        <f t="shared" si="20"/>
        <v>8038004.4716793112</v>
      </c>
      <c r="S97" s="49">
        <f t="shared" si="20"/>
        <v>6430403.577343449</v>
      </c>
      <c r="T97" s="49">
        <f t="shared" si="20"/>
        <v>8186856.4063400393</v>
      </c>
      <c r="U97" s="49">
        <f t="shared" si="20"/>
        <v>5951979.4349092003</v>
      </c>
      <c r="V97" s="49">
        <f t="shared" si="20"/>
        <v>5843761.6270017605</v>
      </c>
      <c r="W97" s="49">
        <f t="shared" si="20"/>
        <v>3895841.0846678405</v>
      </c>
      <c r="X97" s="49">
        <f t="shared" si="20"/>
        <v>3565663.4650551542</v>
      </c>
      <c r="Y97" s="49">
        <f t="shared" si="20"/>
        <v>2971386.2208792954</v>
      </c>
      <c r="Z97" s="49">
        <f t="shared" si="20"/>
        <v>4457079.3313189438</v>
      </c>
      <c r="AB97" s="44">
        <f>+AB94+AB96</f>
        <v>13360.130000000001</v>
      </c>
      <c r="AC97" s="44">
        <f t="shared" ref="AC97:AG97" si="21">+AC94+AC96</f>
        <v>51925.65</v>
      </c>
      <c r="AD97" s="44">
        <f t="shared" si="21"/>
        <v>66518.62</v>
      </c>
      <c r="AE97" s="44">
        <f t="shared" si="21"/>
        <v>48299.72</v>
      </c>
      <c r="AF97" s="44">
        <f t="shared" si="21"/>
        <v>152308.1</v>
      </c>
      <c r="AG97" s="44">
        <f t="shared" si="21"/>
        <v>51252.11</v>
      </c>
    </row>
    <row r="99" spans="2:33" ht="18" customHeight="1" x14ac:dyDescent="0.25">
      <c r="C99" s="12"/>
      <c r="D99" s="12"/>
      <c r="E99" s="74" t="s">
        <v>106</v>
      </c>
      <c r="F99" s="75">
        <f>(F88)*(F$94+F$95)</f>
        <v>134317804.5</v>
      </c>
      <c r="G99" s="75">
        <f>+(G88)*(G$94+G$95)</f>
        <v>2447026183.8000002</v>
      </c>
      <c r="H99" s="75">
        <f>+H88*(H$94+H$95)</f>
        <v>102569959.8</v>
      </c>
      <c r="I99" s="75">
        <f t="shared" ref="I99:Z99" si="22">+I88*(I$94+I$95)</f>
        <v>0</v>
      </c>
      <c r="J99" s="75">
        <f t="shared" si="22"/>
        <v>0</v>
      </c>
      <c r="K99" s="75">
        <f t="shared" si="22"/>
        <v>0</v>
      </c>
      <c r="L99" s="75">
        <f t="shared" si="22"/>
        <v>17836101.961920001</v>
      </c>
      <c r="M99" s="75">
        <f>+M88*(M$94+M$95)</f>
        <v>5945367.3206399996</v>
      </c>
      <c r="N99" s="75">
        <f t="shared" si="22"/>
        <v>0</v>
      </c>
      <c r="O99" s="75">
        <f t="shared" si="22"/>
        <v>6560960.7428639987</v>
      </c>
      <c r="P99" s="75">
        <f t="shared" si="22"/>
        <v>26243842.971455999</v>
      </c>
      <c r="Q99" s="75">
        <f t="shared" si="22"/>
        <v>20995074.377164796</v>
      </c>
      <c r="R99" s="75">
        <f t="shared" si="22"/>
        <v>0</v>
      </c>
      <c r="S99" s="75">
        <f t="shared" si="22"/>
        <v>0</v>
      </c>
      <c r="T99" s="75">
        <f t="shared" si="22"/>
        <v>0</v>
      </c>
      <c r="U99" s="75">
        <f t="shared" si="22"/>
        <v>5841000.4268000005</v>
      </c>
      <c r="V99" s="75">
        <f t="shared" si="22"/>
        <v>5734800.4190400001</v>
      </c>
      <c r="W99" s="75">
        <f t="shared" si="22"/>
        <v>3823200.2793600005</v>
      </c>
      <c r="X99" s="75">
        <f t="shared" si="22"/>
        <v>3499179.062860799</v>
      </c>
      <c r="Y99" s="75">
        <f t="shared" si="22"/>
        <v>5831965.1047679987</v>
      </c>
      <c r="Z99" s="75">
        <f t="shared" si="22"/>
        <v>0</v>
      </c>
      <c r="AA99" s="10"/>
      <c r="AB99" s="76">
        <f>+AB88*(AB94+AB95)</f>
        <v>9969576</v>
      </c>
      <c r="AC99" s="76">
        <f t="shared" ref="AC99:AG99" si="23">+AC88*(AC94+AC95)</f>
        <v>4319865</v>
      </c>
      <c r="AD99" s="76">
        <f t="shared" si="23"/>
        <v>3521574</v>
      </c>
      <c r="AE99" s="76">
        <f t="shared" si="23"/>
        <v>2475868</v>
      </c>
      <c r="AF99" s="76">
        <f t="shared" si="23"/>
        <v>2175830</v>
      </c>
      <c r="AG99" s="76">
        <f t="shared" si="23"/>
        <v>4048486</v>
      </c>
    </row>
    <row r="100" spans="2:33" s="12" customFormat="1" ht="18" customHeight="1" x14ac:dyDescent="0.25">
      <c r="E100" s="74" t="s">
        <v>107</v>
      </c>
      <c r="F100" s="75">
        <f>(F$96*F88)</f>
        <v>2552038.2854999998</v>
      </c>
      <c r="G100" s="75">
        <f>(G$96)*(G88)</f>
        <v>46493497.492200002</v>
      </c>
      <c r="H100" s="75">
        <f t="shared" ref="H100:Z100" si="24">(H$96*H88)</f>
        <v>1948829.2362000002</v>
      </c>
      <c r="I100" s="75">
        <f t="shared" si="24"/>
        <v>0</v>
      </c>
      <c r="J100" s="75">
        <f t="shared" si="24"/>
        <v>0</v>
      </c>
      <c r="K100" s="75">
        <f t="shared" si="24"/>
        <v>0</v>
      </c>
      <c r="L100" s="75">
        <f t="shared" si="24"/>
        <v>338885.93727648002</v>
      </c>
      <c r="M100" s="75">
        <f t="shared" si="24"/>
        <v>112961.97909215999</v>
      </c>
      <c r="N100" s="75">
        <f t="shared" si="24"/>
        <v>0</v>
      </c>
      <c r="O100" s="75">
        <f t="shared" si="24"/>
        <v>124658.25411441598</v>
      </c>
      <c r="P100" s="75">
        <f t="shared" si="24"/>
        <v>498633.01645766397</v>
      </c>
      <c r="Q100" s="75">
        <f t="shared" si="24"/>
        <v>398906.41316613113</v>
      </c>
      <c r="R100" s="75">
        <f t="shared" si="24"/>
        <v>0</v>
      </c>
      <c r="S100" s="75">
        <f t="shared" si="24"/>
        <v>0</v>
      </c>
      <c r="T100" s="75">
        <f t="shared" si="24"/>
        <v>0</v>
      </c>
      <c r="U100" s="75">
        <f t="shared" si="24"/>
        <v>110979.0081092</v>
      </c>
      <c r="V100" s="75">
        <f t="shared" si="24"/>
        <v>108961.20796176</v>
      </c>
      <c r="W100" s="75">
        <f t="shared" si="24"/>
        <v>72640.805307840012</v>
      </c>
      <c r="X100" s="75">
        <f t="shared" si="24"/>
        <v>66484.402194355178</v>
      </c>
      <c r="Y100" s="75">
        <f t="shared" si="24"/>
        <v>110807.33699059197</v>
      </c>
      <c r="Z100" s="75">
        <f t="shared" si="24"/>
        <v>0</v>
      </c>
      <c r="AA100" s="11"/>
      <c r="AB100" s="76">
        <f t="shared" ref="AB100:AG100" si="25">+ROUND(((AB12+AB18+AB33+AB49+AB57+AB86)*AB96),0)</f>
        <v>1894219</v>
      </c>
      <c r="AC100" s="76">
        <f t="shared" si="25"/>
        <v>820774</v>
      </c>
      <c r="AD100" s="76">
        <f t="shared" si="25"/>
        <v>669099</v>
      </c>
      <c r="AE100" s="76">
        <f t="shared" si="25"/>
        <v>470415</v>
      </c>
      <c r="AF100" s="76">
        <f t="shared" si="25"/>
        <v>413408</v>
      </c>
      <c r="AG100" s="76">
        <f t="shared" si="25"/>
        <v>769212</v>
      </c>
    </row>
    <row r="101" spans="2:33" s="12" customFormat="1" ht="18" customHeight="1" x14ac:dyDescent="0.25">
      <c r="B101" s="46"/>
      <c r="C101" s="46"/>
      <c r="D101" s="46"/>
      <c r="E101" s="73" t="s">
        <v>200</v>
      </c>
      <c r="F101" s="78">
        <f>+F99+F100</f>
        <v>136869842.78549999</v>
      </c>
      <c r="G101" s="78">
        <f>+G99+G100</f>
        <v>2493519681.2922001</v>
      </c>
      <c r="H101" s="78">
        <f t="shared" ref="H101:Y101" si="26">+H99+H100</f>
        <v>104518789.0362</v>
      </c>
      <c r="I101" s="78">
        <f t="shared" si="26"/>
        <v>0</v>
      </c>
      <c r="J101" s="78">
        <f t="shared" si="26"/>
        <v>0</v>
      </c>
      <c r="K101" s="78">
        <f t="shared" si="26"/>
        <v>0</v>
      </c>
      <c r="L101" s="78">
        <f t="shared" si="26"/>
        <v>18174987.899196479</v>
      </c>
      <c r="M101" s="78">
        <f>+M99+M100</f>
        <v>6058329.2997321598</v>
      </c>
      <c r="N101" s="78">
        <f t="shared" si="26"/>
        <v>0</v>
      </c>
      <c r="O101" s="78">
        <f t="shared" si="26"/>
        <v>6685618.9969784152</v>
      </c>
      <c r="P101" s="78">
        <f t="shared" si="26"/>
        <v>26742475.987913664</v>
      </c>
      <c r="Q101" s="78">
        <f t="shared" si="26"/>
        <v>21393980.790330928</v>
      </c>
      <c r="R101" s="78">
        <f t="shared" si="26"/>
        <v>0</v>
      </c>
      <c r="S101" s="78">
        <f t="shared" si="26"/>
        <v>0</v>
      </c>
      <c r="T101" s="78">
        <f t="shared" si="26"/>
        <v>0</v>
      </c>
      <c r="U101" s="78">
        <f t="shared" si="26"/>
        <v>5951979.4349092003</v>
      </c>
      <c r="V101" s="78">
        <f t="shared" si="26"/>
        <v>5843761.6270017605</v>
      </c>
      <c r="W101" s="78">
        <f t="shared" si="26"/>
        <v>3895841.0846678405</v>
      </c>
      <c r="X101" s="78">
        <f t="shared" si="26"/>
        <v>3565663.4650551542</v>
      </c>
      <c r="Y101" s="78">
        <f t="shared" si="26"/>
        <v>5942772.4417585908</v>
      </c>
      <c r="Z101" s="78">
        <f>+Z99+Z100</f>
        <v>0</v>
      </c>
      <c r="AA101" s="11"/>
      <c r="AB101" s="77">
        <f>+AB99+AB100</f>
        <v>11863795</v>
      </c>
      <c r="AC101" s="77">
        <f t="shared" ref="AC101:AG101" si="27">+AC99+AC100</f>
        <v>5140639</v>
      </c>
      <c r="AD101" s="77">
        <f t="shared" si="27"/>
        <v>4190673</v>
      </c>
      <c r="AE101" s="77">
        <f t="shared" si="27"/>
        <v>2946283</v>
      </c>
      <c r="AF101" s="77">
        <f t="shared" si="27"/>
        <v>2589238</v>
      </c>
      <c r="AG101" s="77">
        <f t="shared" si="27"/>
        <v>4817698</v>
      </c>
    </row>
    <row r="102" spans="2:33" ht="17.25" customHeight="1" x14ac:dyDescent="0.25">
      <c r="D102" s="13"/>
      <c r="E102" s="14"/>
      <c r="F102" s="15"/>
      <c r="G102" s="16"/>
      <c r="H102" s="16"/>
      <c r="I102" s="16"/>
      <c r="J102" s="16"/>
      <c r="K102" s="16"/>
      <c r="L102" s="16"/>
      <c r="M102" s="16"/>
      <c r="O102" s="17"/>
      <c r="W102" s="18"/>
      <c r="Y102" s="71"/>
      <c r="Z102" s="72"/>
      <c r="AA102" s="19"/>
      <c r="AB102" s="71"/>
      <c r="AC102" s="72"/>
    </row>
    <row r="103" spans="2:33" ht="31.5" x14ac:dyDescent="0.25">
      <c r="C103" s="79" t="s">
        <v>108</v>
      </c>
      <c r="D103" s="79" t="s">
        <v>109</v>
      </c>
    </row>
    <row r="104" spans="2:33" ht="22.5" customHeight="1" x14ac:dyDescent="0.25">
      <c r="C104" s="63">
        <f>+AA11+AA17+AA32+AA48+AA56+AA85</f>
        <v>2839163724.1414442</v>
      </c>
      <c r="D104" s="63">
        <f>SUM(AB101:AG101)</f>
        <v>31548326</v>
      </c>
    </row>
    <row r="105" spans="2:33" ht="27" customHeight="1" x14ac:dyDescent="0.25"/>
    <row r="106" spans="2:33" ht="34.5" customHeight="1" x14ac:dyDescent="0.25">
      <c r="C106" s="80" t="s">
        <v>0</v>
      </c>
      <c r="D106" s="80" t="s">
        <v>110</v>
      </c>
      <c r="E106" s="80" t="s">
        <v>111</v>
      </c>
      <c r="F106" s="80" t="s">
        <v>203</v>
      </c>
      <c r="G106" s="80" t="s">
        <v>112</v>
      </c>
      <c r="K106" s="20"/>
      <c r="L106" s="20"/>
      <c r="Y106" s="7"/>
    </row>
    <row r="107" spans="2:33" ht="20.25" customHeight="1" x14ac:dyDescent="0.25">
      <c r="C107" s="59" t="s">
        <v>113</v>
      </c>
      <c r="D107" s="60">
        <f>+AA11*1</f>
        <v>257397008.26725519</v>
      </c>
      <c r="E107" s="60">
        <f>+((AB12*AB97)+(AC12*AC97)+(AD12*AD97)+(AE12*AE97)+(AF12*AF97)+(AG12*AG97))*1</f>
        <v>2617733.4400000004</v>
      </c>
      <c r="F107" s="61">
        <f>+E107*0.052</f>
        <v>136122.13888000001</v>
      </c>
      <c r="G107" s="60">
        <f t="shared" ref="G107:G113" si="28">SUM(D107:F107)</f>
        <v>260150863.8461352</v>
      </c>
      <c r="K107" s="21"/>
      <c r="L107" s="20"/>
      <c r="Y107" s="7"/>
    </row>
    <row r="108" spans="2:33" ht="20.25" customHeight="1" x14ac:dyDescent="0.25">
      <c r="C108" s="59" t="s">
        <v>42</v>
      </c>
      <c r="D108" s="60">
        <f>+AA17*1</f>
        <v>313770934.78133035</v>
      </c>
      <c r="E108" s="60">
        <f>+((AB18*AB97)+(AC18*AC97)+(AD18*AD97)+(AE18*AE97)+(AF18*AF97)+(AG18*AG97))*1</f>
        <v>4847067.54</v>
      </c>
      <c r="F108" s="61">
        <f t="shared" ref="F108:F112" si="29">+E108*0.052</f>
        <v>252047.51207999999</v>
      </c>
      <c r="G108" s="60">
        <f t="shared" si="28"/>
        <v>318870049.83341038</v>
      </c>
      <c r="K108" s="21"/>
      <c r="L108" s="20"/>
      <c r="Y108" s="7"/>
    </row>
    <row r="109" spans="2:33" ht="20.25" customHeight="1" x14ac:dyDescent="0.25">
      <c r="C109" s="59" t="s">
        <v>50</v>
      </c>
      <c r="D109" s="60">
        <f>+AA32*1</f>
        <v>390663998.80714387</v>
      </c>
      <c r="E109" s="60">
        <f>+((AB33*AB97)+(AC33*AC97)+(AD33*AD97)+(AE33*AE97)+(AF33*AF97)+(AG33*AG97))*1</f>
        <v>4207146.2300000004</v>
      </c>
      <c r="F109" s="61">
        <f t="shared" si="29"/>
        <v>218771.60396000001</v>
      </c>
      <c r="G109" s="60">
        <f t="shared" si="28"/>
        <v>395089916.64110386</v>
      </c>
      <c r="K109" s="21"/>
      <c r="L109" s="20"/>
      <c r="Y109" s="7"/>
    </row>
    <row r="110" spans="2:33" ht="20.25" customHeight="1" x14ac:dyDescent="0.25">
      <c r="C110" s="59" t="s">
        <v>114</v>
      </c>
      <c r="D110" s="60">
        <f>+AA48*1</f>
        <v>436200612.09216368</v>
      </c>
      <c r="E110" s="60">
        <f>+((AB49*AB97)+(AC49*AC97)+(AD49*AD97)+(AE49*AE97)+(AF49*AF97)+(AG49*AG97))*1</f>
        <v>3706635.8</v>
      </c>
      <c r="F110" s="61">
        <f t="shared" si="29"/>
        <v>192745.06159999999</v>
      </c>
      <c r="G110" s="60">
        <f t="shared" si="28"/>
        <v>440099992.95376372</v>
      </c>
      <c r="K110" s="21"/>
      <c r="L110" s="20"/>
      <c r="Y110" s="7"/>
    </row>
    <row r="111" spans="2:33" ht="20.25" customHeight="1" x14ac:dyDescent="0.25">
      <c r="C111" s="59" t="s">
        <v>75</v>
      </c>
      <c r="D111" s="60">
        <f>+AA56*1</f>
        <v>412058059.23083788</v>
      </c>
      <c r="E111" s="60">
        <f>+((AB57*AB97)+(AC57*AC97)+(AD57*AD97)+(AE57*AE97)+(AF57*AF97)+(AG57*AG97))*1</f>
        <v>3102263.3600000003</v>
      </c>
      <c r="F111" s="61">
        <f t="shared" si="29"/>
        <v>161317.69472</v>
      </c>
      <c r="G111" s="60">
        <f t="shared" si="28"/>
        <v>415321640.28555787</v>
      </c>
      <c r="K111" s="21"/>
      <c r="L111" s="20"/>
      <c r="Y111" s="7"/>
    </row>
    <row r="112" spans="2:33" ht="20.25" customHeight="1" x14ac:dyDescent="0.25">
      <c r="C112" s="59" t="s">
        <v>78</v>
      </c>
      <c r="D112" s="60">
        <f>+AA85*1</f>
        <v>1029073110.9627131</v>
      </c>
      <c r="E112" s="60">
        <f>+((AB86*AB97)+(AC86*AC97)+(AD86*AD97)+(AE86*AE97)+(AF86*AF97)+(AG86*AG97))*1</f>
        <v>13067480.440000001</v>
      </c>
      <c r="F112" s="61">
        <f t="shared" si="29"/>
        <v>679508.98288000003</v>
      </c>
      <c r="G112" s="60">
        <f t="shared" si="28"/>
        <v>1042820100.3855932</v>
      </c>
      <c r="K112" s="21"/>
      <c r="L112" s="20"/>
      <c r="Y112" s="7"/>
    </row>
    <row r="113" spans="3:25" ht="20.25" customHeight="1" x14ac:dyDescent="0.25">
      <c r="C113" s="64" t="s">
        <v>115</v>
      </c>
      <c r="D113" s="62">
        <f>SUM(D107:D112)</f>
        <v>2839163724.1414442</v>
      </c>
      <c r="E113" s="62">
        <f>SUM(E107:E112)</f>
        <v>31548326.810000002</v>
      </c>
      <c r="F113" s="62">
        <f>SUM(F107:F112)</f>
        <v>1640512.9941199999</v>
      </c>
      <c r="G113" s="62">
        <f t="shared" si="28"/>
        <v>2872352563.9455643</v>
      </c>
      <c r="K113" s="20"/>
      <c r="L113" s="20"/>
      <c r="Y113" s="7"/>
    </row>
  </sheetData>
  <mergeCells count="6">
    <mergeCell ref="B86:E86"/>
    <mergeCell ref="B12:E12"/>
    <mergeCell ref="B18:E18"/>
    <mergeCell ref="B33:E33"/>
    <mergeCell ref="B49:E49"/>
    <mergeCell ref="B57:E57"/>
  </mergeCells>
  <pageMargins left="0.27559055118110237" right="0.31496062992125984" top="0.74803149606299213" bottom="0.74803149606299213" header="0.31496062992125984" footer="0.31496062992125984"/>
  <pageSetup paperSize="14" scale="50" orientation="landscape" r:id="rId1"/>
  <ignoredErrors>
    <ignoredError sqref="G91:Z91 G100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H113"/>
  <sheetViews>
    <sheetView showGridLines="0" zoomScale="80" zoomScaleNormal="80" workbookViewId="0">
      <pane xSplit="5" ySplit="1" topLeftCell="F38" activePane="bottomRight" state="frozen"/>
      <selection pane="topRight" activeCell="F1" sqref="F1"/>
      <selection pane="bottomLeft" activeCell="A2" sqref="A2"/>
      <selection pane="bottomRight" activeCell="G50" sqref="G50"/>
    </sheetView>
  </sheetViews>
  <sheetFormatPr baseColWidth="10" defaultColWidth="9.140625" defaultRowHeight="12.75" x14ac:dyDescent="0.25"/>
  <cols>
    <col min="1" max="1" width="2.5703125" style="7" customWidth="1"/>
    <col min="2" max="2" width="16.85546875" style="12" customWidth="1"/>
    <col min="3" max="3" width="34" style="8" customWidth="1"/>
    <col min="4" max="4" width="29.85546875" style="8" customWidth="1"/>
    <col min="5" max="5" width="21.85546875" style="8" customWidth="1"/>
    <col min="6" max="6" width="23.5703125" style="9" customWidth="1"/>
    <col min="7" max="7" width="26.28515625" style="9" customWidth="1"/>
    <col min="8" max="8" width="19.5703125" style="9" customWidth="1"/>
    <col min="9" max="9" width="17.140625" style="9" hidden="1" customWidth="1"/>
    <col min="10" max="10" width="20.42578125" style="9" hidden="1" customWidth="1"/>
    <col min="11" max="11" width="2.140625" style="9" hidden="1" customWidth="1"/>
    <col min="12" max="12" width="18.5703125" style="9" customWidth="1"/>
    <col min="13" max="13" width="17.42578125" style="9" customWidth="1"/>
    <col min="14" max="14" width="13.7109375" style="9" hidden="1" customWidth="1"/>
    <col min="15" max="15" width="17.7109375" style="9" customWidth="1"/>
    <col min="16" max="16" width="19" style="9" customWidth="1"/>
    <col min="17" max="17" width="20" style="9" customWidth="1"/>
    <col min="18" max="18" width="17.5703125" style="9" hidden="1" customWidth="1"/>
    <col min="19" max="19" width="18" style="9" hidden="1" customWidth="1"/>
    <col min="20" max="20" width="17.28515625" style="9" hidden="1" customWidth="1"/>
    <col min="21" max="21" width="17.140625" style="9" customWidth="1"/>
    <col min="22" max="22" width="18.140625" style="9" customWidth="1"/>
    <col min="23" max="23" width="17.140625" style="9" customWidth="1"/>
    <col min="24" max="24" width="18.85546875" style="9" customWidth="1"/>
    <col min="25" max="25" width="18.42578125" style="9" customWidth="1"/>
    <col min="26" max="26" width="19.85546875" style="7" customWidth="1"/>
    <col min="27" max="27" width="22.42578125" style="7" customWidth="1"/>
    <col min="28" max="33" width="15.85546875" style="7" customWidth="1"/>
    <col min="34" max="16384" width="9.140625" style="7"/>
  </cols>
  <sheetData>
    <row r="1" spans="2:33" s="1" customFormat="1" ht="99.75" customHeight="1" x14ac:dyDescent="0.25">
      <c r="B1" s="81" t="s">
        <v>0</v>
      </c>
      <c r="C1" s="81" t="s">
        <v>1</v>
      </c>
      <c r="D1" s="81" t="s">
        <v>2</v>
      </c>
      <c r="E1" s="81" t="s">
        <v>3</v>
      </c>
      <c r="F1" s="82" t="s">
        <v>4</v>
      </c>
      <c r="G1" s="82" t="s">
        <v>5</v>
      </c>
      <c r="H1" s="82" t="s">
        <v>6</v>
      </c>
      <c r="I1" s="82" t="s">
        <v>7</v>
      </c>
      <c r="J1" s="82" t="s">
        <v>8</v>
      </c>
      <c r="K1" s="82" t="s">
        <v>9</v>
      </c>
      <c r="L1" s="82" t="s">
        <v>10</v>
      </c>
      <c r="M1" s="82" t="s">
        <v>11</v>
      </c>
      <c r="N1" s="82" t="s">
        <v>12</v>
      </c>
      <c r="O1" s="82" t="s">
        <v>13</v>
      </c>
      <c r="P1" s="82" t="s">
        <v>14</v>
      </c>
      <c r="Q1" s="82" t="s">
        <v>15</v>
      </c>
      <c r="R1" s="82" t="s">
        <v>16</v>
      </c>
      <c r="S1" s="82" t="s">
        <v>17</v>
      </c>
      <c r="T1" s="81" t="s">
        <v>18</v>
      </c>
      <c r="U1" s="82" t="s">
        <v>19</v>
      </c>
      <c r="V1" s="82" t="s">
        <v>20</v>
      </c>
      <c r="W1" s="83" t="s">
        <v>21</v>
      </c>
      <c r="X1" s="82" t="s">
        <v>22</v>
      </c>
      <c r="Y1" s="82" t="s">
        <v>23</v>
      </c>
      <c r="Z1" s="82" t="s">
        <v>24</v>
      </c>
      <c r="AA1" s="84" t="s">
        <v>25</v>
      </c>
      <c r="AB1" s="82" t="s">
        <v>26</v>
      </c>
      <c r="AC1" s="82" t="s">
        <v>27</v>
      </c>
      <c r="AD1" s="82" t="s">
        <v>28</v>
      </c>
      <c r="AE1" s="82" t="s">
        <v>29</v>
      </c>
      <c r="AF1" s="82" t="s">
        <v>30</v>
      </c>
      <c r="AG1" s="82" t="s">
        <v>31</v>
      </c>
    </row>
    <row r="2" spans="2:33" s="2" customFormat="1" ht="49.5" customHeight="1" x14ac:dyDescent="0.25">
      <c r="B2" s="30" t="s">
        <v>32</v>
      </c>
      <c r="C2" s="27" t="s">
        <v>33</v>
      </c>
      <c r="D2" s="27" t="s">
        <v>151</v>
      </c>
      <c r="E2" s="27" t="s">
        <v>35</v>
      </c>
      <c r="F2" s="28">
        <v>0</v>
      </c>
      <c r="G2" s="31">
        <v>1</v>
      </c>
      <c r="H2" s="28">
        <v>0</v>
      </c>
      <c r="I2" s="28">
        <v>0</v>
      </c>
      <c r="J2" s="28">
        <v>0</v>
      </c>
      <c r="K2" s="28">
        <v>0</v>
      </c>
      <c r="L2" s="28">
        <v>0</v>
      </c>
      <c r="M2" s="28">
        <v>0</v>
      </c>
      <c r="N2" s="28">
        <v>0</v>
      </c>
      <c r="O2" s="28">
        <v>0</v>
      </c>
      <c r="P2" s="28">
        <v>0</v>
      </c>
      <c r="Q2" s="28">
        <v>0</v>
      </c>
      <c r="R2" s="28">
        <v>0</v>
      </c>
      <c r="S2" s="28">
        <v>0</v>
      </c>
      <c r="T2" s="28">
        <v>0</v>
      </c>
      <c r="U2" s="28">
        <v>0</v>
      </c>
      <c r="V2" s="28">
        <v>0</v>
      </c>
      <c r="W2" s="28">
        <v>0</v>
      </c>
      <c r="X2" s="28">
        <v>0</v>
      </c>
      <c r="Y2" s="28">
        <v>0</v>
      </c>
      <c r="Z2" s="28">
        <v>0</v>
      </c>
      <c r="AB2" s="35">
        <v>19</v>
      </c>
      <c r="AC2" s="35">
        <v>2</v>
      </c>
      <c r="AD2" s="35">
        <v>1</v>
      </c>
      <c r="AE2" s="35">
        <v>1</v>
      </c>
      <c r="AF2" s="35">
        <v>1</v>
      </c>
      <c r="AG2" s="35">
        <v>2</v>
      </c>
    </row>
    <row r="3" spans="2:33" s="2" customFormat="1" ht="48" customHeight="1" x14ac:dyDescent="0.25">
      <c r="B3" s="29" t="s">
        <v>32</v>
      </c>
      <c r="C3" s="27" t="s">
        <v>34</v>
      </c>
      <c r="D3" s="27" t="s">
        <v>151</v>
      </c>
      <c r="E3" s="27" t="s">
        <v>35</v>
      </c>
      <c r="F3" s="28">
        <v>0</v>
      </c>
      <c r="G3" s="31">
        <v>3</v>
      </c>
      <c r="H3" s="28">
        <v>0</v>
      </c>
      <c r="I3" s="28">
        <v>0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0</v>
      </c>
      <c r="R3" s="28">
        <v>0</v>
      </c>
      <c r="S3" s="28">
        <v>0</v>
      </c>
      <c r="T3" s="28">
        <v>0</v>
      </c>
      <c r="U3" s="28">
        <v>0</v>
      </c>
      <c r="V3" s="28">
        <v>0</v>
      </c>
      <c r="W3" s="28">
        <v>0</v>
      </c>
      <c r="X3" s="28">
        <v>0</v>
      </c>
      <c r="Y3" s="28">
        <v>0</v>
      </c>
      <c r="Z3" s="28">
        <v>0</v>
      </c>
      <c r="AB3" s="32">
        <v>0</v>
      </c>
      <c r="AC3" s="32">
        <v>0</v>
      </c>
      <c r="AD3" s="32">
        <v>0</v>
      </c>
      <c r="AE3" s="32">
        <v>0</v>
      </c>
      <c r="AF3" s="32">
        <v>0</v>
      </c>
      <c r="AG3" s="32">
        <v>0</v>
      </c>
    </row>
    <row r="4" spans="2:33" s="2" customFormat="1" ht="48" customHeight="1" x14ac:dyDescent="0.25">
      <c r="B4" s="29" t="s">
        <v>32</v>
      </c>
      <c r="C4" s="27" t="s">
        <v>34</v>
      </c>
      <c r="D4" s="27" t="s">
        <v>150</v>
      </c>
      <c r="E4" s="27" t="s">
        <v>35</v>
      </c>
      <c r="F4" s="28">
        <v>0</v>
      </c>
      <c r="G4" s="31">
        <v>2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B4" s="32">
        <v>15</v>
      </c>
      <c r="AC4" s="32">
        <v>0</v>
      </c>
      <c r="AD4" s="35">
        <v>1</v>
      </c>
      <c r="AE4" s="35">
        <v>1</v>
      </c>
      <c r="AF4" s="32">
        <v>0</v>
      </c>
      <c r="AG4" s="35">
        <v>1</v>
      </c>
    </row>
    <row r="5" spans="2:33" s="2" customFormat="1" ht="49.5" customHeight="1" x14ac:dyDescent="0.25">
      <c r="B5" s="29" t="s">
        <v>32</v>
      </c>
      <c r="C5" s="27" t="s">
        <v>34</v>
      </c>
      <c r="D5" s="27" t="s">
        <v>178</v>
      </c>
      <c r="E5" s="27" t="s">
        <v>35</v>
      </c>
      <c r="F5" s="28">
        <v>0</v>
      </c>
      <c r="G5" s="31">
        <v>1</v>
      </c>
      <c r="H5" s="28">
        <v>0</v>
      </c>
      <c r="I5" s="28">
        <v>0</v>
      </c>
      <c r="J5" s="28">
        <v>0</v>
      </c>
      <c r="K5" s="28">
        <v>0</v>
      </c>
      <c r="L5" s="28">
        <v>0</v>
      </c>
      <c r="M5" s="28">
        <v>0</v>
      </c>
      <c r="N5" s="28">
        <v>0</v>
      </c>
      <c r="O5" s="28">
        <v>0</v>
      </c>
      <c r="P5" s="28">
        <v>0</v>
      </c>
      <c r="Q5" s="28">
        <v>0</v>
      </c>
      <c r="R5" s="28">
        <v>0</v>
      </c>
      <c r="S5" s="28">
        <v>0</v>
      </c>
      <c r="T5" s="28">
        <v>0</v>
      </c>
      <c r="U5" s="28">
        <v>0</v>
      </c>
      <c r="V5" s="28">
        <v>0</v>
      </c>
      <c r="W5" s="28">
        <v>0</v>
      </c>
      <c r="X5" s="28">
        <v>0</v>
      </c>
      <c r="Y5" s="28">
        <v>0</v>
      </c>
      <c r="Z5" s="28">
        <v>0</v>
      </c>
      <c r="AB5" s="32">
        <v>7</v>
      </c>
      <c r="AC5" s="32">
        <v>0</v>
      </c>
      <c r="AD5" s="35">
        <v>1</v>
      </c>
      <c r="AE5" s="35">
        <v>1</v>
      </c>
      <c r="AF5" s="32">
        <v>0</v>
      </c>
      <c r="AG5" s="35">
        <v>1</v>
      </c>
    </row>
    <row r="6" spans="2:33" s="2" customFormat="1" ht="49.5" customHeight="1" x14ac:dyDescent="0.25">
      <c r="B6" s="29" t="s">
        <v>32</v>
      </c>
      <c r="C6" s="27" t="s">
        <v>34</v>
      </c>
      <c r="D6" s="27" t="s">
        <v>144</v>
      </c>
      <c r="E6" s="27" t="s">
        <v>36</v>
      </c>
      <c r="F6" s="28">
        <v>0</v>
      </c>
      <c r="G6" s="31">
        <v>2</v>
      </c>
      <c r="H6" s="28">
        <v>0</v>
      </c>
      <c r="I6" s="28">
        <v>0</v>
      </c>
      <c r="J6" s="28">
        <v>0</v>
      </c>
      <c r="K6" s="28">
        <v>0</v>
      </c>
      <c r="L6" s="28">
        <v>0</v>
      </c>
      <c r="M6" s="28">
        <v>0</v>
      </c>
      <c r="N6" s="28">
        <v>0</v>
      </c>
      <c r="O6" s="28">
        <v>0</v>
      </c>
      <c r="P6" s="28">
        <v>0</v>
      </c>
      <c r="Q6" s="28">
        <v>0</v>
      </c>
      <c r="R6" s="28">
        <v>0</v>
      </c>
      <c r="S6" s="28">
        <v>0</v>
      </c>
      <c r="T6" s="28">
        <v>0</v>
      </c>
      <c r="U6" s="28">
        <v>0</v>
      </c>
      <c r="V6" s="28">
        <v>0</v>
      </c>
      <c r="W6" s="28">
        <v>0</v>
      </c>
      <c r="X6" s="31">
        <v>1</v>
      </c>
      <c r="Y6" s="28">
        <v>0</v>
      </c>
      <c r="Z6" s="28">
        <v>0</v>
      </c>
      <c r="AB6" s="32">
        <v>11</v>
      </c>
      <c r="AC6" s="32">
        <v>0</v>
      </c>
      <c r="AD6" s="35">
        <v>1</v>
      </c>
      <c r="AE6" s="35">
        <v>1</v>
      </c>
      <c r="AF6" s="32">
        <v>0</v>
      </c>
      <c r="AG6" s="35">
        <v>1</v>
      </c>
    </row>
    <row r="7" spans="2:33" s="2" customFormat="1" ht="48" customHeight="1" x14ac:dyDescent="0.25">
      <c r="B7" s="29" t="s">
        <v>32</v>
      </c>
      <c r="C7" s="27" t="s">
        <v>34</v>
      </c>
      <c r="D7" s="27" t="s">
        <v>145</v>
      </c>
      <c r="E7" s="27" t="s">
        <v>36</v>
      </c>
      <c r="F7" s="28">
        <v>0</v>
      </c>
      <c r="G7" s="31">
        <v>1</v>
      </c>
      <c r="H7" s="28">
        <v>0</v>
      </c>
      <c r="I7" s="28"/>
      <c r="J7" s="28"/>
      <c r="K7" s="28"/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B7" s="32">
        <v>0</v>
      </c>
      <c r="AC7" s="32">
        <v>0</v>
      </c>
      <c r="AD7" s="32">
        <v>0</v>
      </c>
      <c r="AE7" s="32">
        <v>0</v>
      </c>
      <c r="AF7" s="32">
        <v>0</v>
      </c>
      <c r="AG7" s="32">
        <v>0</v>
      </c>
    </row>
    <row r="8" spans="2:33" s="2" customFormat="1" ht="48" customHeight="1" x14ac:dyDescent="0.25">
      <c r="B8" s="29" t="s">
        <v>32</v>
      </c>
      <c r="C8" s="27" t="s">
        <v>34</v>
      </c>
      <c r="D8" s="27" t="s">
        <v>179</v>
      </c>
      <c r="E8" s="27" t="s">
        <v>37</v>
      </c>
      <c r="F8" s="28">
        <v>0</v>
      </c>
      <c r="G8" s="31">
        <v>2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0</v>
      </c>
      <c r="W8" s="28">
        <v>0</v>
      </c>
      <c r="X8" s="28">
        <v>0</v>
      </c>
      <c r="Y8" s="28">
        <v>0</v>
      </c>
      <c r="Z8" s="28">
        <v>0</v>
      </c>
      <c r="AB8" s="35">
        <v>16</v>
      </c>
      <c r="AC8" s="32">
        <v>0</v>
      </c>
      <c r="AD8" s="35">
        <v>1</v>
      </c>
      <c r="AE8" s="35">
        <v>1</v>
      </c>
      <c r="AF8" s="32">
        <v>0</v>
      </c>
      <c r="AG8" s="35">
        <v>3</v>
      </c>
    </row>
    <row r="9" spans="2:33" s="2" customFormat="1" ht="48" customHeight="1" x14ac:dyDescent="0.25">
      <c r="B9" s="29" t="s">
        <v>32</v>
      </c>
      <c r="C9" s="27" t="s">
        <v>34</v>
      </c>
      <c r="D9" s="27" t="s">
        <v>38</v>
      </c>
      <c r="E9" s="27" t="s">
        <v>37</v>
      </c>
      <c r="F9" s="28">
        <v>0</v>
      </c>
      <c r="G9" s="31">
        <v>2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58">
        <f>+AA11*1</f>
        <v>257397008.26725519</v>
      </c>
      <c r="AB9" s="32">
        <v>0</v>
      </c>
      <c r="AC9" s="32">
        <v>0</v>
      </c>
      <c r="AD9" s="32">
        <v>0</v>
      </c>
      <c r="AE9" s="32">
        <v>0</v>
      </c>
      <c r="AF9" s="32">
        <v>0</v>
      </c>
      <c r="AG9" s="32">
        <v>0</v>
      </c>
    </row>
    <row r="10" spans="2:33" s="2" customFormat="1" ht="48" customHeight="1" x14ac:dyDescent="0.25">
      <c r="B10" s="29" t="s">
        <v>32</v>
      </c>
      <c r="C10" s="27" t="s">
        <v>34</v>
      </c>
      <c r="D10" s="27" t="s">
        <v>39</v>
      </c>
      <c r="E10" s="27" t="s">
        <v>40</v>
      </c>
      <c r="F10" s="28">
        <v>0</v>
      </c>
      <c r="G10" s="31">
        <v>1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B10" s="32">
        <v>0</v>
      </c>
      <c r="AC10" s="32">
        <v>0</v>
      </c>
      <c r="AD10" s="32">
        <v>0</v>
      </c>
      <c r="AE10" s="32">
        <v>0</v>
      </c>
      <c r="AF10" s="32">
        <v>0</v>
      </c>
      <c r="AG10" s="32">
        <v>0</v>
      </c>
    </row>
    <row r="11" spans="2:33" s="2" customFormat="1" ht="48" customHeight="1" x14ac:dyDescent="0.25">
      <c r="B11" s="29" t="s">
        <v>32</v>
      </c>
      <c r="C11" s="27" t="s">
        <v>34</v>
      </c>
      <c r="D11" s="27" t="s">
        <v>180</v>
      </c>
      <c r="E11" s="27" t="s">
        <v>40</v>
      </c>
      <c r="F11" s="28">
        <v>0</v>
      </c>
      <c r="G11" s="31">
        <v>2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58">
        <f>+(G12*G97)+(X12*X97)</f>
        <v>257397008.26725519</v>
      </c>
      <c r="AB11" s="35">
        <v>15</v>
      </c>
      <c r="AC11" s="32">
        <v>0</v>
      </c>
      <c r="AD11" s="35">
        <v>1</v>
      </c>
      <c r="AE11" s="35">
        <v>1</v>
      </c>
      <c r="AF11" s="32">
        <v>0</v>
      </c>
      <c r="AG11" s="35">
        <v>3</v>
      </c>
    </row>
    <row r="12" spans="2:33" s="53" customFormat="1" ht="19.5" customHeight="1" x14ac:dyDescent="0.25">
      <c r="B12" s="165" t="s">
        <v>41</v>
      </c>
      <c r="C12" s="165"/>
      <c r="D12" s="165"/>
      <c r="E12" s="165"/>
      <c r="F12" s="85">
        <f t="shared" ref="F12:Z12" si="0">SUM(F2:F11)</f>
        <v>0</v>
      </c>
      <c r="G12" s="85">
        <f t="shared" si="0"/>
        <v>17</v>
      </c>
      <c r="H12" s="85">
        <f t="shared" si="0"/>
        <v>0</v>
      </c>
      <c r="I12" s="85">
        <f t="shared" si="0"/>
        <v>0</v>
      </c>
      <c r="J12" s="85">
        <f t="shared" si="0"/>
        <v>0</v>
      </c>
      <c r="K12" s="85">
        <f t="shared" si="0"/>
        <v>0</v>
      </c>
      <c r="L12" s="85">
        <f t="shared" si="0"/>
        <v>0</v>
      </c>
      <c r="M12" s="85">
        <f t="shared" si="0"/>
        <v>0</v>
      </c>
      <c r="N12" s="85">
        <f t="shared" si="0"/>
        <v>0</v>
      </c>
      <c r="O12" s="85">
        <f t="shared" si="0"/>
        <v>0</v>
      </c>
      <c r="P12" s="85">
        <f t="shared" si="0"/>
        <v>0</v>
      </c>
      <c r="Q12" s="85">
        <f t="shared" si="0"/>
        <v>0</v>
      </c>
      <c r="R12" s="85">
        <f t="shared" si="0"/>
        <v>0</v>
      </c>
      <c r="S12" s="85">
        <f t="shared" si="0"/>
        <v>0</v>
      </c>
      <c r="T12" s="85">
        <f t="shared" si="0"/>
        <v>0</v>
      </c>
      <c r="U12" s="85">
        <f t="shared" si="0"/>
        <v>0</v>
      </c>
      <c r="V12" s="85">
        <f t="shared" si="0"/>
        <v>0</v>
      </c>
      <c r="W12" s="85">
        <f t="shared" si="0"/>
        <v>0</v>
      </c>
      <c r="X12" s="85">
        <f t="shared" si="0"/>
        <v>1</v>
      </c>
      <c r="Y12" s="85">
        <f t="shared" si="0"/>
        <v>0</v>
      </c>
      <c r="Z12" s="85">
        <f t="shared" si="0"/>
        <v>0</v>
      </c>
      <c r="AA12" s="86">
        <f>SUM(F12:Z12)</f>
        <v>18</v>
      </c>
      <c r="AB12" s="87">
        <f t="shared" ref="AB12:AG12" si="1">SUM(AB2:AB11)</f>
        <v>83</v>
      </c>
      <c r="AC12" s="87">
        <f t="shared" si="1"/>
        <v>2</v>
      </c>
      <c r="AD12" s="87">
        <f t="shared" si="1"/>
        <v>6</v>
      </c>
      <c r="AE12" s="87">
        <f t="shared" si="1"/>
        <v>6</v>
      </c>
      <c r="AF12" s="87">
        <f t="shared" si="1"/>
        <v>1</v>
      </c>
      <c r="AG12" s="87">
        <f t="shared" si="1"/>
        <v>11</v>
      </c>
    </row>
    <row r="13" spans="2:33" s="2" customFormat="1" ht="49.5" customHeight="1" x14ac:dyDescent="0.25">
      <c r="B13" s="30" t="s">
        <v>42</v>
      </c>
      <c r="C13" s="27" t="s">
        <v>43</v>
      </c>
      <c r="D13" s="27" t="s">
        <v>181</v>
      </c>
      <c r="E13" s="27" t="s">
        <v>45</v>
      </c>
      <c r="F13" s="28">
        <v>0</v>
      </c>
      <c r="G13" s="31">
        <v>1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32">
        <v>0</v>
      </c>
    </row>
    <row r="14" spans="2:33" s="2" customFormat="1" ht="48" customHeight="1" x14ac:dyDescent="0.25">
      <c r="B14" s="29" t="s">
        <v>42</v>
      </c>
      <c r="C14" s="27" t="s">
        <v>44</v>
      </c>
      <c r="D14" s="27" t="s">
        <v>181</v>
      </c>
      <c r="E14" s="27" t="s">
        <v>45</v>
      </c>
      <c r="F14" s="31">
        <v>1</v>
      </c>
      <c r="G14" s="31">
        <v>3</v>
      </c>
      <c r="H14" s="31">
        <v>1</v>
      </c>
      <c r="I14" s="28">
        <v>0</v>
      </c>
      <c r="J14" s="28">
        <v>0</v>
      </c>
      <c r="K14" s="28">
        <v>0</v>
      </c>
      <c r="L14" s="28">
        <v>0</v>
      </c>
      <c r="M14" s="31">
        <v>1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31">
        <v>1</v>
      </c>
      <c r="Z14" s="28">
        <v>0</v>
      </c>
      <c r="AB14" s="35">
        <v>58</v>
      </c>
      <c r="AC14" s="35">
        <v>2</v>
      </c>
      <c r="AD14" s="35">
        <v>2</v>
      </c>
      <c r="AE14" s="35">
        <v>2</v>
      </c>
      <c r="AF14" s="35">
        <v>1</v>
      </c>
      <c r="AG14" s="35">
        <v>5</v>
      </c>
    </row>
    <row r="15" spans="2:33" s="2" customFormat="1" ht="47.25" customHeight="1" x14ac:dyDescent="0.25">
      <c r="B15" s="29" t="s">
        <v>42</v>
      </c>
      <c r="C15" s="27" t="s">
        <v>46</v>
      </c>
      <c r="D15" s="27" t="s">
        <v>181</v>
      </c>
      <c r="E15" s="27" t="s">
        <v>45</v>
      </c>
      <c r="F15" s="31"/>
      <c r="G15" s="31">
        <v>2</v>
      </c>
      <c r="H15" s="31">
        <v>1</v>
      </c>
      <c r="I15" s="28"/>
      <c r="J15" s="28"/>
      <c r="K15" s="28"/>
      <c r="L15" s="28"/>
      <c r="M15" s="28"/>
      <c r="N15" s="28"/>
      <c r="O15" s="28"/>
      <c r="P15" s="28">
        <v>1</v>
      </c>
      <c r="Q15" s="28"/>
      <c r="R15" s="28"/>
      <c r="S15" s="28"/>
      <c r="T15" s="28"/>
      <c r="U15" s="28"/>
      <c r="V15" s="28"/>
      <c r="W15" s="28"/>
      <c r="X15" s="28"/>
      <c r="Y15" s="28"/>
      <c r="Z15" s="28"/>
      <c r="AB15" s="35">
        <v>5</v>
      </c>
      <c r="AC15" s="32">
        <v>40</v>
      </c>
      <c r="AD15" s="32">
        <v>2</v>
      </c>
      <c r="AE15" s="32">
        <v>2</v>
      </c>
      <c r="AF15" s="32">
        <v>1</v>
      </c>
      <c r="AG15" s="32"/>
    </row>
    <row r="16" spans="2:33" s="2" customFormat="1" ht="48" customHeight="1" x14ac:dyDescent="0.25">
      <c r="B16" s="29" t="s">
        <v>42</v>
      </c>
      <c r="C16" s="27" t="s">
        <v>44</v>
      </c>
      <c r="D16" s="27" t="s">
        <v>152</v>
      </c>
      <c r="E16" s="27" t="s">
        <v>47</v>
      </c>
      <c r="F16" s="31">
        <v>3</v>
      </c>
      <c r="G16" s="31">
        <v>3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58">
        <f>+AA17*1</f>
        <v>313770934.78133035</v>
      </c>
      <c r="AB16" s="35">
        <v>10</v>
      </c>
      <c r="AC16" s="32">
        <v>0</v>
      </c>
      <c r="AD16" s="35">
        <v>1</v>
      </c>
      <c r="AE16" s="35">
        <v>1</v>
      </c>
      <c r="AF16" s="32">
        <v>0</v>
      </c>
      <c r="AG16" s="35">
        <v>3</v>
      </c>
    </row>
    <row r="17" spans="2:34" s="2" customFormat="1" ht="48" customHeight="1" x14ac:dyDescent="0.25">
      <c r="B17" s="29" t="s">
        <v>42</v>
      </c>
      <c r="C17" s="27" t="s">
        <v>44</v>
      </c>
      <c r="D17" s="27" t="s">
        <v>146</v>
      </c>
      <c r="E17" s="27" t="s">
        <v>48</v>
      </c>
      <c r="F17" s="31">
        <v>2</v>
      </c>
      <c r="G17" s="31">
        <v>3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58">
        <f>+(F18*F97)+(G18*G97)+(H18*H97)+(M18*M97)+(P18*P97)+(Y18*Y97)</f>
        <v>313770934.78133035</v>
      </c>
      <c r="AB17" s="35">
        <v>10</v>
      </c>
      <c r="AC17" s="32">
        <v>0</v>
      </c>
      <c r="AD17" s="35">
        <v>1</v>
      </c>
      <c r="AE17" s="35">
        <v>1</v>
      </c>
      <c r="AF17" s="32">
        <v>0</v>
      </c>
      <c r="AG17" s="35">
        <v>3</v>
      </c>
    </row>
    <row r="18" spans="2:34" s="53" customFormat="1" ht="19.5" customHeight="1" x14ac:dyDescent="0.25">
      <c r="B18" s="165" t="s">
        <v>49</v>
      </c>
      <c r="C18" s="165"/>
      <c r="D18" s="165"/>
      <c r="E18" s="165"/>
      <c r="F18" s="85">
        <f t="shared" ref="F18:Z18" si="2">SUM(F13:F17)</f>
        <v>6</v>
      </c>
      <c r="G18" s="85">
        <f t="shared" si="2"/>
        <v>12</v>
      </c>
      <c r="H18" s="85">
        <f t="shared" si="2"/>
        <v>2</v>
      </c>
      <c r="I18" s="85">
        <f t="shared" si="2"/>
        <v>0</v>
      </c>
      <c r="J18" s="85">
        <f t="shared" si="2"/>
        <v>0</v>
      </c>
      <c r="K18" s="85">
        <f t="shared" si="2"/>
        <v>0</v>
      </c>
      <c r="L18" s="85">
        <f t="shared" si="2"/>
        <v>0</v>
      </c>
      <c r="M18" s="85">
        <f t="shared" si="2"/>
        <v>1</v>
      </c>
      <c r="N18" s="85">
        <f t="shared" si="2"/>
        <v>0</v>
      </c>
      <c r="O18" s="85">
        <f t="shared" si="2"/>
        <v>0</v>
      </c>
      <c r="P18" s="85">
        <f t="shared" si="2"/>
        <v>1</v>
      </c>
      <c r="Q18" s="85">
        <f t="shared" si="2"/>
        <v>0</v>
      </c>
      <c r="R18" s="85">
        <f t="shared" si="2"/>
        <v>0</v>
      </c>
      <c r="S18" s="85">
        <f t="shared" si="2"/>
        <v>0</v>
      </c>
      <c r="T18" s="85">
        <f t="shared" si="2"/>
        <v>0</v>
      </c>
      <c r="U18" s="85">
        <f t="shared" si="2"/>
        <v>0</v>
      </c>
      <c r="V18" s="85">
        <f t="shared" si="2"/>
        <v>0</v>
      </c>
      <c r="W18" s="85">
        <f t="shared" si="2"/>
        <v>0</v>
      </c>
      <c r="X18" s="85">
        <f t="shared" si="2"/>
        <v>0</v>
      </c>
      <c r="Y18" s="85">
        <f t="shared" si="2"/>
        <v>1</v>
      </c>
      <c r="Z18" s="85">
        <f t="shared" si="2"/>
        <v>0</v>
      </c>
      <c r="AA18" s="86">
        <f>SUM(F18:Z18)</f>
        <v>23</v>
      </c>
      <c r="AB18" s="87">
        <f>SUM(AB13:AB17)</f>
        <v>83</v>
      </c>
      <c r="AC18" s="87">
        <f t="shared" ref="AC18:AG18" si="3">SUM(AC13:AC17)</f>
        <v>42</v>
      </c>
      <c r="AD18" s="87">
        <f t="shared" si="3"/>
        <v>6</v>
      </c>
      <c r="AE18" s="87">
        <f t="shared" si="3"/>
        <v>6</v>
      </c>
      <c r="AF18" s="87">
        <f t="shared" si="3"/>
        <v>2</v>
      </c>
      <c r="AG18" s="87">
        <f t="shared" si="3"/>
        <v>11</v>
      </c>
    </row>
    <row r="19" spans="2:34" s="2" customFormat="1" ht="43.5" customHeight="1" x14ac:dyDescent="0.25">
      <c r="B19" s="30" t="s">
        <v>50</v>
      </c>
      <c r="C19" s="27" t="s">
        <v>33</v>
      </c>
      <c r="D19" s="27" t="s">
        <v>182</v>
      </c>
      <c r="E19" s="27" t="s">
        <v>52</v>
      </c>
      <c r="F19" s="28">
        <v>0</v>
      </c>
      <c r="G19" s="31">
        <v>1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B19" s="32">
        <v>0</v>
      </c>
      <c r="AC19" s="32">
        <v>0</v>
      </c>
      <c r="AD19" s="32">
        <v>0</v>
      </c>
      <c r="AE19" s="32">
        <v>0</v>
      </c>
      <c r="AF19" s="32">
        <v>0</v>
      </c>
      <c r="AG19" s="32">
        <v>0</v>
      </c>
    </row>
    <row r="20" spans="2:34" s="2" customFormat="1" ht="48" customHeight="1" x14ac:dyDescent="0.25">
      <c r="B20" s="29" t="s">
        <v>50</v>
      </c>
      <c r="C20" s="27" t="s">
        <v>195</v>
      </c>
      <c r="D20" s="27" t="s">
        <v>182</v>
      </c>
      <c r="E20" s="27" t="s">
        <v>52</v>
      </c>
      <c r="F20" s="28">
        <v>0</v>
      </c>
      <c r="G20" s="31">
        <v>4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31">
        <v>1</v>
      </c>
      <c r="R20" s="28">
        <v>0</v>
      </c>
      <c r="S20" s="28">
        <v>0</v>
      </c>
      <c r="T20" s="28">
        <v>0</v>
      </c>
      <c r="U20" s="28">
        <v>0</v>
      </c>
      <c r="V20" s="31">
        <v>1</v>
      </c>
      <c r="W20" s="28">
        <v>0</v>
      </c>
      <c r="X20" s="28">
        <v>0</v>
      </c>
      <c r="Y20" s="28">
        <v>0</v>
      </c>
      <c r="Z20" s="28">
        <v>0</v>
      </c>
      <c r="AB20" s="35">
        <v>18</v>
      </c>
      <c r="AC20" s="32">
        <v>0</v>
      </c>
      <c r="AD20" s="35">
        <v>2</v>
      </c>
      <c r="AE20" s="35">
        <v>2</v>
      </c>
      <c r="AF20" s="35">
        <v>1</v>
      </c>
      <c r="AG20" s="32">
        <v>0</v>
      </c>
    </row>
    <row r="21" spans="2:34" s="2" customFormat="1" ht="48" customHeight="1" x14ac:dyDescent="0.25">
      <c r="B21" s="29" t="s">
        <v>50</v>
      </c>
      <c r="C21" s="27" t="s">
        <v>195</v>
      </c>
      <c r="D21" s="27" t="s">
        <v>183</v>
      </c>
      <c r="E21" s="27" t="s">
        <v>121</v>
      </c>
      <c r="F21" s="28">
        <v>0</v>
      </c>
      <c r="G21" s="31">
        <v>1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B21" s="35">
        <v>8</v>
      </c>
      <c r="AC21" s="32">
        <v>0</v>
      </c>
      <c r="AD21" s="35">
        <v>1</v>
      </c>
      <c r="AE21" s="35">
        <v>1</v>
      </c>
      <c r="AF21" s="35">
        <v>1</v>
      </c>
      <c r="AG21" s="35">
        <v>1</v>
      </c>
    </row>
    <row r="22" spans="2:34" s="2" customFormat="1" ht="48" customHeight="1" x14ac:dyDescent="0.25">
      <c r="B22" s="29" t="s">
        <v>50</v>
      </c>
      <c r="C22" s="27" t="s">
        <v>195</v>
      </c>
      <c r="D22" s="27" t="s">
        <v>153</v>
      </c>
      <c r="E22" s="27" t="s">
        <v>123</v>
      </c>
      <c r="F22" s="28">
        <v>0</v>
      </c>
      <c r="G22" s="31">
        <v>1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B22" s="35">
        <v>8</v>
      </c>
      <c r="AC22" s="32">
        <v>0</v>
      </c>
      <c r="AD22" s="35">
        <v>1</v>
      </c>
      <c r="AE22" s="35">
        <v>1</v>
      </c>
      <c r="AF22" s="35">
        <v>1</v>
      </c>
      <c r="AG22" s="35">
        <v>1</v>
      </c>
    </row>
    <row r="23" spans="2:34" s="2" customFormat="1" ht="43.5" customHeight="1" x14ac:dyDescent="0.25">
      <c r="B23" s="30" t="s">
        <v>50</v>
      </c>
      <c r="C23" s="27" t="s">
        <v>51</v>
      </c>
      <c r="D23" s="27" t="s">
        <v>53</v>
      </c>
      <c r="E23" s="27" t="s">
        <v>52</v>
      </c>
      <c r="F23" s="28">
        <v>0</v>
      </c>
      <c r="G23" s="31">
        <v>3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/>
      <c r="N23" s="28">
        <v>0</v>
      </c>
      <c r="O23" s="28">
        <v>0</v>
      </c>
      <c r="P23" s="28">
        <v>0</v>
      </c>
      <c r="Q23" s="31">
        <v>1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B23" s="35">
        <v>22</v>
      </c>
      <c r="AC23" s="32">
        <v>0</v>
      </c>
      <c r="AD23" s="35">
        <v>2</v>
      </c>
      <c r="AE23" s="35">
        <v>2</v>
      </c>
      <c r="AF23" s="35">
        <v>1</v>
      </c>
      <c r="AG23" s="32">
        <v>0</v>
      </c>
    </row>
    <row r="24" spans="2:34" s="2" customFormat="1" ht="48" customHeight="1" x14ac:dyDescent="0.25">
      <c r="B24" s="29" t="s">
        <v>50</v>
      </c>
      <c r="C24" s="27" t="s">
        <v>54</v>
      </c>
      <c r="D24" s="27" t="s">
        <v>154</v>
      </c>
      <c r="E24" s="27" t="s">
        <v>121</v>
      </c>
      <c r="F24" s="28">
        <v>0</v>
      </c>
      <c r="G24" s="31">
        <v>3</v>
      </c>
      <c r="H24" s="28">
        <v>0</v>
      </c>
      <c r="I24" s="28">
        <v>0</v>
      </c>
      <c r="J24" s="28">
        <v>0</v>
      </c>
      <c r="K24" s="28">
        <v>0</v>
      </c>
      <c r="L24" s="31">
        <v>1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B24" s="35">
        <v>12</v>
      </c>
      <c r="AC24" s="32">
        <v>0</v>
      </c>
      <c r="AD24" s="35">
        <v>1</v>
      </c>
      <c r="AE24" s="35">
        <v>1</v>
      </c>
      <c r="AF24" s="32">
        <v>0</v>
      </c>
      <c r="AG24" s="32">
        <v>0</v>
      </c>
    </row>
    <row r="25" spans="2:34" s="2" customFormat="1" ht="48" customHeight="1" x14ac:dyDescent="0.25">
      <c r="B25" s="29" t="s">
        <v>50</v>
      </c>
      <c r="C25" s="27" t="s">
        <v>54</v>
      </c>
      <c r="D25" s="27" t="s">
        <v>147</v>
      </c>
      <c r="E25" s="27" t="s">
        <v>121</v>
      </c>
      <c r="F25" s="28">
        <v>0</v>
      </c>
      <c r="G25" s="31">
        <v>2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31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31">
        <v>1</v>
      </c>
      <c r="W25" s="28">
        <v>0</v>
      </c>
      <c r="X25" s="28">
        <v>0</v>
      </c>
      <c r="Y25" s="28">
        <v>0</v>
      </c>
      <c r="Z25" s="28">
        <v>0</v>
      </c>
      <c r="AB25" s="32">
        <v>0</v>
      </c>
      <c r="AC25" s="32">
        <v>0</v>
      </c>
      <c r="AD25" s="32">
        <v>0</v>
      </c>
      <c r="AE25" s="32">
        <v>0</v>
      </c>
      <c r="AF25" s="32">
        <v>0</v>
      </c>
      <c r="AG25" s="32">
        <v>0</v>
      </c>
    </row>
    <row r="26" spans="2:34" s="2" customFormat="1" ht="48" customHeight="1" x14ac:dyDescent="0.25">
      <c r="B26" s="29" t="s">
        <v>50</v>
      </c>
      <c r="C26" s="27" t="s">
        <v>54</v>
      </c>
      <c r="D26" s="27" t="s">
        <v>148</v>
      </c>
      <c r="E26" s="27" t="s">
        <v>124</v>
      </c>
      <c r="F26" s="28">
        <v>0</v>
      </c>
      <c r="G26" s="31">
        <v>1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B26" s="35">
        <v>6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</row>
    <row r="27" spans="2:34" s="2" customFormat="1" ht="49.5" customHeight="1" x14ac:dyDescent="0.25">
      <c r="B27" s="30" t="s">
        <v>50</v>
      </c>
      <c r="C27" s="27" t="s">
        <v>55</v>
      </c>
      <c r="D27" s="27" t="s">
        <v>184</v>
      </c>
      <c r="E27" s="27" t="s">
        <v>56</v>
      </c>
      <c r="F27" s="28">
        <v>0</v>
      </c>
      <c r="G27" s="31">
        <v>2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B27" s="35">
        <v>14</v>
      </c>
      <c r="AC27" s="32">
        <v>0</v>
      </c>
      <c r="AD27" s="35">
        <v>1</v>
      </c>
      <c r="AE27" s="35">
        <v>1</v>
      </c>
      <c r="AF27" s="32">
        <v>0</v>
      </c>
      <c r="AG27" s="35">
        <v>1</v>
      </c>
    </row>
    <row r="28" spans="2:34" s="2" customFormat="1" ht="49.5" customHeight="1" x14ac:dyDescent="0.25">
      <c r="B28" s="30" t="s">
        <v>50</v>
      </c>
      <c r="C28" s="27" t="s">
        <v>55</v>
      </c>
      <c r="D28" s="27" t="s">
        <v>185</v>
      </c>
      <c r="E28" s="27" t="s">
        <v>56</v>
      </c>
      <c r="F28" s="28">
        <v>0</v>
      </c>
      <c r="G28" s="31">
        <v>2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B28" s="35">
        <v>6</v>
      </c>
      <c r="AC28" s="35">
        <v>2</v>
      </c>
      <c r="AD28" s="35">
        <v>1</v>
      </c>
      <c r="AE28" s="35">
        <v>1</v>
      </c>
      <c r="AF28" s="32">
        <v>0</v>
      </c>
      <c r="AG28" s="35">
        <v>1</v>
      </c>
    </row>
    <row r="29" spans="2:34" s="2" customFormat="1" ht="49.5" customHeight="1" x14ac:dyDescent="0.25">
      <c r="B29" s="30" t="s">
        <v>50</v>
      </c>
      <c r="C29" s="27" t="s">
        <v>55</v>
      </c>
      <c r="D29" s="27" t="s">
        <v>186</v>
      </c>
      <c r="E29" s="27" t="s">
        <v>56</v>
      </c>
      <c r="F29" s="28">
        <v>0</v>
      </c>
      <c r="G29" s="31">
        <v>1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B29" s="35">
        <v>6</v>
      </c>
      <c r="AC29" s="35">
        <v>2</v>
      </c>
      <c r="AD29" s="35">
        <v>1</v>
      </c>
      <c r="AE29" s="35">
        <v>1</v>
      </c>
      <c r="AF29" s="32">
        <v>0</v>
      </c>
      <c r="AG29" s="35">
        <v>1</v>
      </c>
    </row>
    <row r="30" spans="2:34" s="2" customFormat="1" ht="49.5" customHeight="1" x14ac:dyDescent="0.25">
      <c r="B30" s="30" t="s">
        <v>50</v>
      </c>
      <c r="C30" s="27" t="s">
        <v>55</v>
      </c>
      <c r="D30" s="27" t="s">
        <v>171</v>
      </c>
      <c r="E30" s="27" t="s">
        <v>56</v>
      </c>
      <c r="F30" s="28">
        <v>0</v>
      </c>
      <c r="G30" s="31">
        <v>1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58">
        <f>+AA32*1</f>
        <v>389822141.43716723</v>
      </c>
      <c r="AB30" s="35">
        <v>4</v>
      </c>
      <c r="AC30" s="35">
        <v>2</v>
      </c>
      <c r="AD30" s="32">
        <v>0</v>
      </c>
      <c r="AE30" s="32">
        <v>0</v>
      </c>
      <c r="AF30" s="32">
        <v>0</v>
      </c>
      <c r="AG30" s="32">
        <v>0</v>
      </c>
      <c r="AH30" s="32"/>
    </row>
    <row r="31" spans="2:34" s="2" customFormat="1" ht="49.5" customHeight="1" x14ac:dyDescent="0.25">
      <c r="B31" s="30" t="s">
        <v>50</v>
      </c>
      <c r="C31" s="27" t="s">
        <v>57</v>
      </c>
      <c r="D31" s="27" t="s">
        <v>187</v>
      </c>
      <c r="E31" s="27" t="s">
        <v>125</v>
      </c>
      <c r="F31" s="28">
        <v>0</v>
      </c>
      <c r="G31" s="31">
        <v>1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58"/>
      <c r="AB31" s="35">
        <v>6</v>
      </c>
      <c r="AC31" s="32">
        <v>0</v>
      </c>
      <c r="AD31" s="35">
        <v>1</v>
      </c>
      <c r="AE31" s="35">
        <v>1</v>
      </c>
      <c r="AF31" s="32">
        <v>0</v>
      </c>
      <c r="AG31" s="35">
        <v>1</v>
      </c>
    </row>
    <row r="32" spans="2:34" s="2" customFormat="1" ht="49.5" customHeight="1" x14ac:dyDescent="0.25">
      <c r="B32" s="30" t="s">
        <v>50</v>
      </c>
      <c r="C32" s="27" t="s">
        <v>57</v>
      </c>
      <c r="D32" s="27" t="s">
        <v>149</v>
      </c>
      <c r="E32" s="27" t="s">
        <v>126</v>
      </c>
      <c r="F32" s="28">
        <v>0</v>
      </c>
      <c r="G32" s="31">
        <v>1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58">
        <f>+(G33*G97)+(L33*L97)+(O33*O97)+(Q33*Q97)+(V33*V97)</f>
        <v>389822141.43716723</v>
      </c>
      <c r="AB32" s="35">
        <v>6</v>
      </c>
      <c r="AC32" s="32">
        <v>0</v>
      </c>
      <c r="AD32" s="35">
        <v>1</v>
      </c>
      <c r="AE32" s="35">
        <v>1</v>
      </c>
      <c r="AF32" s="32">
        <v>0</v>
      </c>
      <c r="AG32" s="35">
        <v>1</v>
      </c>
    </row>
    <row r="33" spans="2:33" s="53" customFormat="1" ht="19.5" customHeight="1" x14ac:dyDescent="0.25">
      <c r="B33" s="165" t="s">
        <v>58</v>
      </c>
      <c r="C33" s="165"/>
      <c r="D33" s="165"/>
      <c r="E33" s="165"/>
      <c r="F33" s="85">
        <f t="shared" ref="F33:Z33" si="4">SUM(F19:F32)</f>
        <v>0</v>
      </c>
      <c r="G33" s="85">
        <f t="shared" si="4"/>
        <v>24</v>
      </c>
      <c r="H33" s="85">
        <f t="shared" si="4"/>
        <v>0</v>
      </c>
      <c r="I33" s="85">
        <f t="shared" si="4"/>
        <v>0</v>
      </c>
      <c r="J33" s="85">
        <f t="shared" si="4"/>
        <v>0</v>
      </c>
      <c r="K33" s="85">
        <f t="shared" si="4"/>
        <v>0</v>
      </c>
      <c r="L33" s="85">
        <f t="shared" si="4"/>
        <v>1</v>
      </c>
      <c r="M33" s="85">
        <f t="shared" si="4"/>
        <v>0</v>
      </c>
      <c r="N33" s="85">
        <f t="shared" si="4"/>
        <v>0</v>
      </c>
      <c r="O33" s="85">
        <f t="shared" si="4"/>
        <v>0</v>
      </c>
      <c r="P33" s="85">
        <f t="shared" si="4"/>
        <v>0</v>
      </c>
      <c r="Q33" s="85">
        <f t="shared" si="4"/>
        <v>2</v>
      </c>
      <c r="R33" s="85">
        <f t="shared" si="4"/>
        <v>0</v>
      </c>
      <c r="S33" s="85">
        <f t="shared" si="4"/>
        <v>0</v>
      </c>
      <c r="T33" s="85">
        <f t="shared" si="4"/>
        <v>0</v>
      </c>
      <c r="U33" s="85">
        <f t="shared" si="4"/>
        <v>0</v>
      </c>
      <c r="V33" s="85">
        <f t="shared" si="4"/>
        <v>2</v>
      </c>
      <c r="W33" s="85">
        <f t="shared" si="4"/>
        <v>0</v>
      </c>
      <c r="X33" s="85">
        <f t="shared" si="4"/>
        <v>0</v>
      </c>
      <c r="Y33" s="85">
        <f t="shared" si="4"/>
        <v>0</v>
      </c>
      <c r="Z33" s="85">
        <f t="shared" si="4"/>
        <v>0</v>
      </c>
      <c r="AA33" s="86">
        <f>SUM(F33:Z33)</f>
        <v>29</v>
      </c>
      <c r="AB33" s="87">
        <f t="shared" ref="AB33:AG33" si="5">SUM(AB19:AB32)</f>
        <v>116</v>
      </c>
      <c r="AC33" s="87">
        <f t="shared" si="5"/>
        <v>6</v>
      </c>
      <c r="AD33" s="87">
        <f t="shared" si="5"/>
        <v>12</v>
      </c>
      <c r="AE33" s="87">
        <f t="shared" si="5"/>
        <v>12</v>
      </c>
      <c r="AF33" s="87">
        <f t="shared" si="5"/>
        <v>4</v>
      </c>
      <c r="AG33" s="87">
        <f t="shared" si="5"/>
        <v>7</v>
      </c>
    </row>
    <row r="34" spans="2:33" s="2" customFormat="1" ht="48" customHeight="1" x14ac:dyDescent="0.25">
      <c r="B34" s="29" t="s">
        <v>59</v>
      </c>
      <c r="C34" s="27" t="s">
        <v>43</v>
      </c>
      <c r="D34" s="27" t="s">
        <v>60</v>
      </c>
      <c r="E34" s="27" t="s">
        <v>61</v>
      </c>
      <c r="F34" s="28">
        <v>0</v>
      </c>
      <c r="G34" s="31">
        <v>0</v>
      </c>
      <c r="H34" s="31">
        <v>1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B34" s="32">
        <v>0</v>
      </c>
      <c r="AC34" s="32">
        <v>0</v>
      </c>
      <c r="AD34" s="32">
        <v>0</v>
      </c>
      <c r="AE34" s="32">
        <v>0</v>
      </c>
      <c r="AF34" s="32">
        <v>0</v>
      </c>
      <c r="AG34" s="32">
        <v>0</v>
      </c>
    </row>
    <row r="35" spans="2:33" s="2" customFormat="1" ht="48" customHeight="1" x14ac:dyDescent="0.25">
      <c r="B35" s="29" t="s">
        <v>59</v>
      </c>
      <c r="C35" s="27" t="s">
        <v>43</v>
      </c>
      <c r="D35" s="27" t="s">
        <v>62</v>
      </c>
      <c r="E35" s="27" t="s">
        <v>61</v>
      </c>
      <c r="F35" s="28">
        <v>0</v>
      </c>
      <c r="G35" s="31">
        <v>1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31">
        <v>1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31">
        <v>1</v>
      </c>
      <c r="Z35" s="28">
        <v>0</v>
      </c>
      <c r="AB35" s="32">
        <v>0</v>
      </c>
      <c r="AC35" s="32">
        <v>0</v>
      </c>
      <c r="AD35" s="32">
        <v>0</v>
      </c>
      <c r="AE35" s="32">
        <v>0</v>
      </c>
      <c r="AF35" s="32">
        <v>0</v>
      </c>
      <c r="AG35" s="32">
        <v>0</v>
      </c>
    </row>
    <row r="36" spans="2:33" s="2" customFormat="1" ht="48" customHeight="1" x14ac:dyDescent="0.25">
      <c r="B36" s="29" t="s">
        <v>59</v>
      </c>
      <c r="C36" s="27" t="s">
        <v>43</v>
      </c>
      <c r="D36" s="27" t="s">
        <v>63</v>
      </c>
      <c r="E36" s="27" t="s">
        <v>61</v>
      </c>
      <c r="F36" s="28">
        <v>0</v>
      </c>
      <c r="G36" s="31">
        <v>2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B36" s="35">
        <v>25</v>
      </c>
      <c r="AC36" s="35">
        <v>2</v>
      </c>
      <c r="AD36" s="35">
        <v>3</v>
      </c>
      <c r="AE36" s="35">
        <v>1</v>
      </c>
      <c r="AF36" s="32">
        <v>0</v>
      </c>
      <c r="AG36" s="32">
        <v>0</v>
      </c>
    </row>
    <row r="37" spans="2:33" s="2" customFormat="1" ht="48" customHeight="1" x14ac:dyDescent="0.25">
      <c r="B37" s="29" t="s">
        <v>59</v>
      </c>
      <c r="C37" s="27" t="s">
        <v>43</v>
      </c>
      <c r="D37" s="27" t="s">
        <v>64</v>
      </c>
      <c r="E37" s="27" t="s">
        <v>61</v>
      </c>
      <c r="F37" s="28">
        <v>0</v>
      </c>
      <c r="G37" s="31">
        <v>1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B37" s="35">
        <v>10</v>
      </c>
      <c r="AC37" s="35">
        <v>2</v>
      </c>
      <c r="AD37" s="32">
        <v>0</v>
      </c>
      <c r="AE37" s="32">
        <v>0</v>
      </c>
      <c r="AF37" s="32">
        <v>0</v>
      </c>
      <c r="AG37" s="32">
        <v>0</v>
      </c>
    </row>
    <row r="38" spans="2:33" s="2" customFormat="1" ht="48" customHeight="1" x14ac:dyDescent="0.25">
      <c r="B38" s="29" t="s">
        <v>59</v>
      </c>
      <c r="C38" s="27" t="s">
        <v>43</v>
      </c>
      <c r="D38" s="27" t="s">
        <v>65</v>
      </c>
      <c r="E38" s="27" t="s">
        <v>61</v>
      </c>
      <c r="F38" s="28"/>
      <c r="G38" s="31">
        <v>1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B38" s="32">
        <v>0</v>
      </c>
      <c r="AC38" s="32">
        <v>0</v>
      </c>
      <c r="AD38" s="32">
        <v>0</v>
      </c>
      <c r="AE38" s="32">
        <v>0</v>
      </c>
      <c r="AF38" s="32">
        <v>0</v>
      </c>
      <c r="AG38" s="32">
        <v>0</v>
      </c>
    </row>
    <row r="39" spans="2:33" s="2" customFormat="1" ht="49.5" customHeight="1" x14ac:dyDescent="0.25">
      <c r="B39" s="29" t="s">
        <v>59</v>
      </c>
      <c r="C39" s="27" t="s">
        <v>66</v>
      </c>
      <c r="D39" s="27" t="s">
        <v>67</v>
      </c>
      <c r="E39" s="27" t="s">
        <v>61</v>
      </c>
      <c r="F39" s="28">
        <v>0</v>
      </c>
      <c r="G39" s="31">
        <v>3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31">
        <v>1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B39" s="35">
        <v>13</v>
      </c>
      <c r="AC39" s="35">
        <v>1</v>
      </c>
      <c r="AD39" s="32">
        <v>0</v>
      </c>
      <c r="AE39" s="32">
        <v>0</v>
      </c>
      <c r="AF39" s="32">
        <v>0</v>
      </c>
      <c r="AG39" s="35">
        <v>2</v>
      </c>
    </row>
    <row r="40" spans="2:33" s="2" customFormat="1" ht="49.5" customHeight="1" x14ac:dyDescent="0.25">
      <c r="B40" s="29" t="s">
        <v>59</v>
      </c>
      <c r="C40" s="27" t="s">
        <v>66</v>
      </c>
      <c r="D40" s="27" t="s">
        <v>68</v>
      </c>
      <c r="E40" s="27" t="s">
        <v>61</v>
      </c>
      <c r="F40" s="28">
        <v>0</v>
      </c>
      <c r="G40" s="31">
        <v>1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31">
        <v>1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B40" s="35">
        <v>11</v>
      </c>
      <c r="AC40" s="32">
        <v>0</v>
      </c>
      <c r="AD40" s="32">
        <v>0</v>
      </c>
      <c r="AE40" s="32">
        <v>0</v>
      </c>
      <c r="AF40" s="32">
        <v>0</v>
      </c>
      <c r="AG40" s="35">
        <v>3</v>
      </c>
    </row>
    <row r="41" spans="2:33" s="2" customFormat="1" ht="49.5" customHeight="1" x14ac:dyDescent="0.25">
      <c r="B41" s="29" t="s">
        <v>59</v>
      </c>
      <c r="C41" s="27" t="s">
        <v>66</v>
      </c>
      <c r="D41" s="27" t="s">
        <v>69</v>
      </c>
      <c r="E41" s="27" t="s">
        <v>61</v>
      </c>
      <c r="F41" s="28">
        <v>0</v>
      </c>
      <c r="G41" s="31">
        <v>2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B41" s="35">
        <v>9</v>
      </c>
      <c r="AC41" s="35">
        <v>1</v>
      </c>
      <c r="AD41" s="35">
        <v>1</v>
      </c>
      <c r="AE41" s="35">
        <v>1</v>
      </c>
      <c r="AF41" s="32">
        <v>0</v>
      </c>
      <c r="AG41" s="35">
        <v>4</v>
      </c>
    </row>
    <row r="42" spans="2:33" s="2" customFormat="1" ht="49.5" customHeight="1" x14ac:dyDescent="0.25">
      <c r="B42" s="29" t="s">
        <v>59</v>
      </c>
      <c r="C42" s="27" t="s">
        <v>66</v>
      </c>
      <c r="D42" s="27" t="s">
        <v>188</v>
      </c>
      <c r="E42" s="27" t="s">
        <v>61</v>
      </c>
      <c r="F42" s="28">
        <v>0</v>
      </c>
      <c r="G42" s="31">
        <v>3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B42" s="35">
        <v>11</v>
      </c>
      <c r="AC42" s="35">
        <v>1</v>
      </c>
      <c r="AD42" s="35">
        <v>1</v>
      </c>
      <c r="AE42" s="35">
        <v>1</v>
      </c>
      <c r="AF42" s="32">
        <v>0</v>
      </c>
      <c r="AG42" s="35">
        <v>3</v>
      </c>
    </row>
    <row r="43" spans="2:33" s="2" customFormat="1" ht="49.5" customHeight="1" x14ac:dyDescent="0.25">
      <c r="B43" s="29" t="s">
        <v>59</v>
      </c>
      <c r="C43" s="27" t="s">
        <v>66</v>
      </c>
      <c r="D43" s="27" t="s">
        <v>189</v>
      </c>
      <c r="E43" s="27" t="s">
        <v>70</v>
      </c>
      <c r="F43" s="28">
        <v>0</v>
      </c>
      <c r="G43" s="31">
        <v>2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B43" s="35">
        <v>13</v>
      </c>
      <c r="AC43" s="35">
        <v>1</v>
      </c>
      <c r="AD43" s="35">
        <v>1</v>
      </c>
      <c r="AE43" s="35">
        <v>1</v>
      </c>
      <c r="AF43" s="32">
        <v>0</v>
      </c>
      <c r="AG43" s="35">
        <v>2</v>
      </c>
    </row>
    <row r="44" spans="2:33" s="2" customFormat="1" ht="49.5" customHeight="1" x14ac:dyDescent="0.25">
      <c r="B44" s="29" t="s">
        <v>59</v>
      </c>
      <c r="C44" s="27" t="s">
        <v>66</v>
      </c>
      <c r="D44" s="27" t="s">
        <v>190</v>
      </c>
      <c r="E44" s="27" t="s">
        <v>71</v>
      </c>
      <c r="F44" s="28">
        <v>0</v>
      </c>
      <c r="G44" s="31">
        <v>1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B44" s="35">
        <v>8</v>
      </c>
      <c r="AC44" s="35">
        <v>1</v>
      </c>
      <c r="AD44" s="35">
        <v>1</v>
      </c>
      <c r="AE44" s="35">
        <v>1</v>
      </c>
      <c r="AF44" s="32">
        <v>0</v>
      </c>
      <c r="AG44" s="35">
        <v>1</v>
      </c>
    </row>
    <row r="45" spans="2:33" s="2" customFormat="1" ht="49.5" customHeight="1" x14ac:dyDescent="0.25">
      <c r="B45" s="29" t="s">
        <v>59</v>
      </c>
      <c r="C45" s="27" t="s">
        <v>66</v>
      </c>
      <c r="D45" s="27" t="s">
        <v>72</v>
      </c>
      <c r="E45" s="27" t="s">
        <v>73</v>
      </c>
      <c r="F45" s="28">
        <v>0</v>
      </c>
      <c r="G45" s="31">
        <v>1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</row>
    <row r="46" spans="2:33" s="2" customFormat="1" ht="43.5" customHeight="1" x14ac:dyDescent="0.25">
      <c r="B46" s="29" t="s">
        <v>59</v>
      </c>
      <c r="C46" s="27" t="s">
        <v>155</v>
      </c>
      <c r="D46" s="27" t="s">
        <v>191</v>
      </c>
      <c r="E46" s="27" t="s">
        <v>71</v>
      </c>
      <c r="F46" s="28">
        <v>0</v>
      </c>
      <c r="G46" s="31">
        <v>2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58">
        <f>+AA48*1</f>
        <v>436200612.09216368</v>
      </c>
      <c r="AB46" s="35">
        <v>8</v>
      </c>
      <c r="AC46" s="35">
        <v>1</v>
      </c>
      <c r="AD46" s="35">
        <v>1</v>
      </c>
      <c r="AE46" s="35">
        <v>1</v>
      </c>
      <c r="AF46" s="32">
        <v>0</v>
      </c>
      <c r="AG46" s="35">
        <v>3</v>
      </c>
    </row>
    <row r="47" spans="2:33" s="2" customFormat="1" ht="43.5" customHeight="1" x14ac:dyDescent="0.25">
      <c r="B47" s="29" t="s">
        <v>59</v>
      </c>
      <c r="C47" s="27" t="s">
        <v>155</v>
      </c>
      <c r="D47" s="27" t="s">
        <v>172</v>
      </c>
      <c r="E47" s="27" t="s">
        <v>61</v>
      </c>
      <c r="F47" s="28">
        <v>0</v>
      </c>
      <c r="G47" s="31">
        <v>3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32">
        <v>0</v>
      </c>
    </row>
    <row r="48" spans="2:33" s="2" customFormat="1" ht="43.5" customHeight="1" x14ac:dyDescent="0.25">
      <c r="B48" s="29" t="s">
        <v>59</v>
      </c>
      <c r="C48" s="27" t="s">
        <v>155</v>
      </c>
      <c r="D48" s="27" t="s">
        <v>173</v>
      </c>
      <c r="E48" s="27" t="s">
        <v>127</v>
      </c>
      <c r="F48" s="28">
        <v>0</v>
      </c>
      <c r="G48" s="31">
        <v>4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58">
        <f>+(G49*G97)+(H49*H97)+(P49*P97)+(Q49*Q97)+(Y49*Y97)</f>
        <v>436200612.09216368</v>
      </c>
      <c r="AB48" s="32">
        <v>0</v>
      </c>
      <c r="AC48" s="32">
        <v>0</v>
      </c>
      <c r="AD48" s="32">
        <v>0</v>
      </c>
      <c r="AE48" s="32">
        <v>0</v>
      </c>
      <c r="AF48" s="32">
        <v>0</v>
      </c>
      <c r="AG48" s="32">
        <v>0</v>
      </c>
    </row>
    <row r="49" spans="2:33" s="53" customFormat="1" ht="19.5" customHeight="1" x14ac:dyDescent="0.25">
      <c r="B49" s="165" t="s">
        <v>74</v>
      </c>
      <c r="C49" s="165"/>
      <c r="D49" s="165"/>
      <c r="E49" s="165"/>
      <c r="F49" s="85">
        <f t="shared" ref="F49:Z49" si="6">SUM(F34:F48)</f>
        <v>0</v>
      </c>
      <c r="G49" s="85">
        <f t="shared" si="6"/>
        <v>27</v>
      </c>
      <c r="H49" s="85">
        <f t="shared" si="6"/>
        <v>1</v>
      </c>
      <c r="I49" s="85">
        <f t="shared" si="6"/>
        <v>0</v>
      </c>
      <c r="J49" s="85">
        <f t="shared" si="6"/>
        <v>0</v>
      </c>
      <c r="K49" s="85">
        <f t="shared" si="6"/>
        <v>0</v>
      </c>
      <c r="L49" s="85">
        <f t="shared" si="6"/>
        <v>0</v>
      </c>
      <c r="M49" s="85">
        <f t="shared" si="6"/>
        <v>0</v>
      </c>
      <c r="N49" s="85">
        <f t="shared" si="6"/>
        <v>0</v>
      </c>
      <c r="O49" s="85">
        <f t="shared" si="6"/>
        <v>0</v>
      </c>
      <c r="P49" s="85">
        <f t="shared" si="6"/>
        <v>1</v>
      </c>
      <c r="Q49" s="85">
        <f t="shared" si="6"/>
        <v>2</v>
      </c>
      <c r="R49" s="85">
        <f t="shared" si="6"/>
        <v>0</v>
      </c>
      <c r="S49" s="85">
        <f t="shared" si="6"/>
        <v>0</v>
      </c>
      <c r="T49" s="85">
        <f t="shared" si="6"/>
        <v>0</v>
      </c>
      <c r="U49" s="85">
        <f t="shared" si="6"/>
        <v>0</v>
      </c>
      <c r="V49" s="85">
        <f t="shared" si="6"/>
        <v>0</v>
      </c>
      <c r="W49" s="85">
        <f t="shared" si="6"/>
        <v>0</v>
      </c>
      <c r="X49" s="85">
        <f t="shared" si="6"/>
        <v>0</v>
      </c>
      <c r="Y49" s="85">
        <f t="shared" si="6"/>
        <v>1</v>
      </c>
      <c r="Z49" s="85">
        <f t="shared" si="6"/>
        <v>0</v>
      </c>
      <c r="AA49" s="86">
        <f>SUM(F49:Z49)</f>
        <v>32</v>
      </c>
      <c r="AB49" s="87">
        <f>SUM(AB34:AB48)</f>
        <v>108</v>
      </c>
      <c r="AC49" s="87">
        <f t="shared" ref="AC49:AG49" si="7">SUM(AC34:AC48)</f>
        <v>10</v>
      </c>
      <c r="AD49" s="87">
        <f t="shared" si="7"/>
        <v>8</v>
      </c>
      <c r="AE49" s="87">
        <f t="shared" si="7"/>
        <v>6</v>
      </c>
      <c r="AF49" s="87">
        <f t="shared" si="7"/>
        <v>0</v>
      </c>
      <c r="AG49" s="87">
        <f t="shared" si="7"/>
        <v>18</v>
      </c>
    </row>
    <row r="50" spans="2:33" s="2" customFormat="1" ht="49.5" customHeight="1" x14ac:dyDescent="0.25">
      <c r="B50" s="29" t="s">
        <v>75</v>
      </c>
      <c r="C50" s="27" t="s">
        <v>198</v>
      </c>
      <c r="D50" s="27" t="s">
        <v>196</v>
      </c>
      <c r="E50" s="27" t="s">
        <v>128</v>
      </c>
      <c r="F50" s="28">
        <v>0</v>
      </c>
      <c r="G50" s="31">
        <v>5</v>
      </c>
      <c r="H50" s="31">
        <v>1</v>
      </c>
      <c r="I50" s="28"/>
      <c r="J50" s="28"/>
      <c r="K50" s="28"/>
      <c r="L50" s="28">
        <v>0</v>
      </c>
      <c r="M50" s="28">
        <v>0</v>
      </c>
      <c r="N50" s="28">
        <v>0</v>
      </c>
      <c r="O50" s="28">
        <v>0</v>
      </c>
      <c r="P50" s="31">
        <v>1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B50" s="35">
        <v>45</v>
      </c>
      <c r="AC50" s="35">
        <v>2</v>
      </c>
      <c r="AD50" s="35">
        <v>2</v>
      </c>
      <c r="AE50" s="35">
        <v>2</v>
      </c>
      <c r="AF50" s="32">
        <v>0</v>
      </c>
      <c r="AG50" s="35">
        <v>1</v>
      </c>
    </row>
    <row r="51" spans="2:33" s="2" customFormat="1" ht="43.5" customHeight="1" x14ac:dyDescent="0.25">
      <c r="B51" s="29" t="s">
        <v>75</v>
      </c>
      <c r="C51" s="27" t="s">
        <v>198</v>
      </c>
      <c r="D51" s="27" t="s">
        <v>76</v>
      </c>
      <c r="E51" s="27" t="s">
        <v>128</v>
      </c>
      <c r="F51" s="28">
        <v>0</v>
      </c>
      <c r="G51" s="31">
        <v>1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31">
        <v>1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B51" s="35">
        <v>6</v>
      </c>
      <c r="AC51" s="35">
        <v>1</v>
      </c>
      <c r="AD51" s="35">
        <v>1</v>
      </c>
      <c r="AE51" s="35">
        <v>1</v>
      </c>
      <c r="AF51" s="32">
        <v>0</v>
      </c>
      <c r="AG51" s="35">
        <v>1</v>
      </c>
    </row>
    <row r="52" spans="2:33" s="2" customFormat="1" ht="43.5" customHeight="1" x14ac:dyDescent="0.25">
      <c r="B52" s="29" t="s">
        <v>75</v>
      </c>
      <c r="C52" s="27" t="s">
        <v>198</v>
      </c>
      <c r="D52" s="27" t="s">
        <v>156</v>
      </c>
      <c r="E52" s="27" t="s">
        <v>128</v>
      </c>
      <c r="F52" s="28">
        <v>0</v>
      </c>
      <c r="G52" s="31">
        <v>3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B52" s="35">
        <f>25</f>
        <v>25</v>
      </c>
      <c r="AC52" s="32">
        <v>0</v>
      </c>
      <c r="AD52" s="35">
        <f>2</f>
        <v>2</v>
      </c>
      <c r="AE52" s="35">
        <v>2</v>
      </c>
      <c r="AF52" s="32">
        <v>0</v>
      </c>
      <c r="AG52" s="35">
        <v>1</v>
      </c>
    </row>
    <row r="53" spans="2:33" s="2" customFormat="1" ht="49.5" customHeight="1" x14ac:dyDescent="0.25">
      <c r="B53" s="29" t="s">
        <v>75</v>
      </c>
      <c r="C53" s="27" t="s">
        <v>169</v>
      </c>
      <c r="D53" s="27" t="s">
        <v>157</v>
      </c>
      <c r="E53" s="27" t="s">
        <v>128</v>
      </c>
      <c r="F53" s="28">
        <v>0</v>
      </c>
      <c r="G53" s="31">
        <v>5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B53" s="35">
        <v>25</v>
      </c>
      <c r="AC53" s="35">
        <v>1</v>
      </c>
      <c r="AD53" s="35">
        <v>1</v>
      </c>
      <c r="AE53" s="35">
        <v>1</v>
      </c>
      <c r="AF53" s="32">
        <v>0</v>
      </c>
      <c r="AG53" s="35">
        <v>1</v>
      </c>
    </row>
    <row r="54" spans="2:33" s="2" customFormat="1" ht="43.5" customHeight="1" x14ac:dyDescent="0.25">
      <c r="B54" s="29" t="s">
        <v>75</v>
      </c>
      <c r="C54" s="27" t="s">
        <v>198</v>
      </c>
      <c r="D54" s="27" t="s">
        <v>170</v>
      </c>
      <c r="E54" s="27" t="s">
        <v>159</v>
      </c>
      <c r="F54" s="28">
        <v>0</v>
      </c>
      <c r="G54" s="31">
        <v>3</v>
      </c>
      <c r="H54" s="31">
        <v>1</v>
      </c>
      <c r="I54" s="28"/>
      <c r="J54" s="28"/>
      <c r="K54" s="28"/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58">
        <f>+AA56*1</f>
        <v>412058059.23083788</v>
      </c>
      <c r="AB54" s="32">
        <v>0</v>
      </c>
      <c r="AC54" s="32">
        <v>0</v>
      </c>
      <c r="AD54" s="32">
        <v>0</v>
      </c>
      <c r="AE54" s="32">
        <v>0</v>
      </c>
      <c r="AF54" s="32">
        <v>0</v>
      </c>
      <c r="AG54" s="32">
        <v>0</v>
      </c>
    </row>
    <row r="55" spans="2:33" s="2" customFormat="1" ht="49.5" customHeight="1" x14ac:dyDescent="0.25">
      <c r="B55" s="29" t="s">
        <v>75</v>
      </c>
      <c r="C55" s="27" t="s">
        <v>169</v>
      </c>
      <c r="D55" s="27" t="s">
        <v>158</v>
      </c>
      <c r="E55" s="27" t="s">
        <v>129</v>
      </c>
      <c r="F55" s="28">
        <v>0</v>
      </c>
      <c r="G55" s="31">
        <v>7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B55" s="35">
        <v>15</v>
      </c>
      <c r="AC55" s="35">
        <v>1</v>
      </c>
      <c r="AD55" s="35">
        <v>1</v>
      </c>
      <c r="AE55" s="35">
        <v>1</v>
      </c>
      <c r="AF55" s="32">
        <v>0</v>
      </c>
      <c r="AG55" s="35">
        <v>1</v>
      </c>
    </row>
    <row r="56" spans="2:33" s="2" customFormat="1" ht="49.5" customHeight="1" x14ac:dyDescent="0.25">
      <c r="B56" s="29" t="s">
        <v>75</v>
      </c>
      <c r="C56" s="27" t="s">
        <v>169</v>
      </c>
      <c r="D56" s="27" t="s">
        <v>174</v>
      </c>
      <c r="E56" s="27" t="s">
        <v>129</v>
      </c>
      <c r="F56" s="28">
        <v>0</v>
      </c>
      <c r="G56" s="31">
        <v>1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58">
        <f>+(G57*G97)+(H57*H97)+(P57*P97)</f>
        <v>412058059.23083788</v>
      </c>
      <c r="AB56" s="35">
        <v>5</v>
      </c>
      <c r="AC56" s="35">
        <v>0</v>
      </c>
      <c r="AD56" s="35">
        <v>1</v>
      </c>
      <c r="AE56" s="35">
        <v>1</v>
      </c>
      <c r="AF56" s="32">
        <v>0</v>
      </c>
      <c r="AG56" s="35">
        <v>1</v>
      </c>
    </row>
    <row r="57" spans="2:33" s="53" customFormat="1" ht="19.5" customHeight="1" x14ac:dyDescent="0.25">
      <c r="B57" s="165" t="s">
        <v>77</v>
      </c>
      <c r="C57" s="165"/>
      <c r="D57" s="165"/>
      <c r="E57" s="165"/>
      <c r="F57" s="85">
        <f>SUM(F50:F56)</f>
        <v>0</v>
      </c>
      <c r="G57" s="85">
        <f>SUM(G50:G56)</f>
        <v>25</v>
      </c>
      <c r="H57" s="85">
        <f t="shared" ref="H57:Z57" si="8">SUM(H50:H56)</f>
        <v>2</v>
      </c>
      <c r="I57" s="85">
        <f t="shared" si="8"/>
        <v>0</v>
      </c>
      <c r="J57" s="85">
        <f t="shared" si="8"/>
        <v>0</v>
      </c>
      <c r="K57" s="85">
        <f t="shared" si="8"/>
        <v>0</v>
      </c>
      <c r="L57" s="85">
        <f t="shared" si="8"/>
        <v>0</v>
      </c>
      <c r="M57" s="85">
        <f t="shared" si="8"/>
        <v>0</v>
      </c>
      <c r="N57" s="85">
        <f t="shared" si="8"/>
        <v>0</v>
      </c>
      <c r="O57" s="85">
        <f t="shared" si="8"/>
        <v>0</v>
      </c>
      <c r="P57" s="85">
        <f t="shared" si="8"/>
        <v>2</v>
      </c>
      <c r="Q57" s="85">
        <f t="shared" si="8"/>
        <v>0</v>
      </c>
      <c r="R57" s="85">
        <f t="shared" si="8"/>
        <v>0</v>
      </c>
      <c r="S57" s="85">
        <f t="shared" si="8"/>
        <v>0</v>
      </c>
      <c r="T57" s="85">
        <f t="shared" si="8"/>
        <v>0</v>
      </c>
      <c r="U57" s="85">
        <f t="shared" si="8"/>
        <v>0</v>
      </c>
      <c r="V57" s="85">
        <f t="shared" si="8"/>
        <v>0</v>
      </c>
      <c r="W57" s="85">
        <f t="shared" si="8"/>
        <v>0</v>
      </c>
      <c r="X57" s="85">
        <f t="shared" si="8"/>
        <v>0</v>
      </c>
      <c r="Y57" s="85">
        <f t="shared" si="8"/>
        <v>0</v>
      </c>
      <c r="Z57" s="85">
        <f t="shared" si="8"/>
        <v>0</v>
      </c>
      <c r="AA57" s="86">
        <f>SUM(F57:Z57)</f>
        <v>29</v>
      </c>
      <c r="AB57" s="88">
        <f>SUM(AB50:AB56)</f>
        <v>121</v>
      </c>
      <c r="AC57" s="88">
        <f t="shared" ref="AC57:AG57" si="9">SUM(AC50:AC56)</f>
        <v>5</v>
      </c>
      <c r="AD57" s="88">
        <f t="shared" si="9"/>
        <v>8</v>
      </c>
      <c r="AE57" s="88">
        <f t="shared" si="9"/>
        <v>8</v>
      </c>
      <c r="AF57" s="88">
        <f t="shared" si="9"/>
        <v>0</v>
      </c>
      <c r="AG57" s="88">
        <f t="shared" si="9"/>
        <v>6</v>
      </c>
    </row>
    <row r="58" spans="2:33" s="2" customFormat="1" ht="49.5" customHeight="1" x14ac:dyDescent="0.25">
      <c r="B58" s="29" t="s">
        <v>78</v>
      </c>
      <c r="C58" s="27" t="s">
        <v>33</v>
      </c>
      <c r="D58" s="27" t="s">
        <v>160</v>
      </c>
      <c r="E58" s="27" t="s">
        <v>119</v>
      </c>
      <c r="F58" s="28">
        <v>0</v>
      </c>
      <c r="G58" s="31">
        <v>5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B58" s="35">
        <v>26</v>
      </c>
      <c r="AC58" s="35">
        <v>3</v>
      </c>
      <c r="AD58" s="35">
        <v>1</v>
      </c>
      <c r="AE58" s="35">
        <v>1</v>
      </c>
      <c r="AF58" s="35">
        <v>1</v>
      </c>
      <c r="AG58" s="35">
        <v>2</v>
      </c>
    </row>
    <row r="59" spans="2:33" s="2" customFormat="1" ht="49.5" customHeight="1" x14ac:dyDescent="0.25">
      <c r="B59" s="29" t="s">
        <v>78</v>
      </c>
      <c r="C59" s="27" t="s">
        <v>43</v>
      </c>
      <c r="D59" s="27" t="s">
        <v>164</v>
      </c>
      <c r="E59" s="27" t="s">
        <v>119</v>
      </c>
      <c r="F59" s="28">
        <v>0</v>
      </c>
      <c r="G59" s="31">
        <v>1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B59" s="32">
        <v>0</v>
      </c>
      <c r="AC59" s="32">
        <v>0</v>
      </c>
      <c r="AD59" s="32">
        <v>0</v>
      </c>
      <c r="AE59" s="32">
        <v>0</v>
      </c>
      <c r="AF59" s="32">
        <v>0</v>
      </c>
      <c r="AG59" s="32">
        <v>0</v>
      </c>
    </row>
    <row r="60" spans="2:33" s="2" customFormat="1" ht="44.25" customHeight="1" x14ac:dyDescent="0.25">
      <c r="B60" s="30" t="s">
        <v>78</v>
      </c>
      <c r="C60" s="27" t="s">
        <v>79</v>
      </c>
      <c r="D60" s="27" t="s">
        <v>161</v>
      </c>
      <c r="E60" s="27" t="s">
        <v>119</v>
      </c>
      <c r="F60" s="28">
        <v>0</v>
      </c>
      <c r="G60" s="36">
        <v>1</v>
      </c>
      <c r="H60" s="31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B60" s="32">
        <v>0</v>
      </c>
      <c r="AC60" s="32">
        <v>0</v>
      </c>
      <c r="AD60" s="32">
        <v>0</v>
      </c>
      <c r="AE60" s="32">
        <v>0</v>
      </c>
      <c r="AF60" s="32">
        <v>0</v>
      </c>
      <c r="AG60" s="32">
        <v>0</v>
      </c>
    </row>
    <row r="61" spans="2:33" s="2" customFormat="1" ht="44.25" customHeight="1" x14ac:dyDescent="0.25">
      <c r="B61" s="30" t="s">
        <v>78</v>
      </c>
      <c r="C61" s="27" t="s">
        <v>79</v>
      </c>
      <c r="D61" s="27" t="s">
        <v>162</v>
      </c>
      <c r="E61" s="27" t="s">
        <v>119</v>
      </c>
      <c r="F61" s="28">
        <v>0</v>
      </c>
      <c r="G61" s="36">
        <v>3</v>
      </c>
      <c r="H61" s="31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B61" s="35">
        <v>16</v>
      </c>
      <c r="AC61" s="32">
        <v>0</v>
      </c>
      <c r="AD61" s="35">
        <v>1</v>
      </c>
      <c r="AE61" s="35">
        <v>1</v>
      </c>
      <c r="AF61" s="35">
        <v>1</v>
      </c>
      <c r="AG61" s="35">
        <v>1</v>
      </c>
    </row>
    <row r="62" spans="2:33" s="2" customFormat="1" ht="44.25" customHeight="1" x14ac:dyDescent="0.25">
      <c r="B62" s="30" t="s">
        <v>78</v>
      </c>
      <c r="C62" s="27" t="s">
        <v>79</v>
      </c>
      <c r="D62" s="27" t="s">
        <v>163</v>
      </c>
      <c r="E62" s="27" t="s">
        <v>119</v>
      </c>
      <c r="F62" s="28">
        <v>0</v>
      </c>
      <c r="G62" s="36">
        <v>1</v>
      </c>
      <c r="H62" s="31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B62" s="32">
        <v>0</v>
      </c>
      <c r="AC62" s="32">
        <v>0</v>
      </c>
      <c r="AD62" s="32">
        <v>0</v>
      </c>
      <c r="AE62" s="32">
        <v>0</v>
      </c>
      <c r="AF62" s="32">
        <v>0</v>
      </c>
      <c r="AG62" s="32">
        <v>0</v>
      </c>
    </row>
    <row r="63" spans="2:33" s="2" customFormat="1" ht="44.25" customHeight="1" x14ac:dyDescent="0.25">
      <c r="B63" s="30" t="s">
        <v>78</v>
      </c>
      <c r="C63" s="27" t="s">
        <v>79</v>
      </c>
      <c r="D63" s="27" t="s">
        <v>80</v>
      </c>
      <c r="E63" s="27" t="s">
        <v>119</v>
      </c>
      <c r="F63" s="28">
        <v>0</v>
      </c>
      <c r="G63" s="36">
        <v>2</v>
      </c>
      <c r="H63" s="31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B63" s="35">
        <v>23</v>
      </c>
      <c r="AC63" s="32">
        <v>0</v>
      </c>
      <c r="AD63" s="35">
        <v>1</v>
      </c>
      <c r="AE63" s="35">
        <v>1</v>
      </c>
      <c r="AF63" s="35">
        <v>1</v>
      </c>
      <c r="AG63" s="35">
        <v>1</v>
      </c>
    </row>
    <row r="64" spans="2:33" s="2" customFormat="1" ht="49.5" customHeight="1" x14ac:dyDescent="0.25">
      <c r="B64" s="29" t="s">
        <v>78</v>
      </c>
      <c r="C64" s="27" t="s">
        <v>81</v>
      </c>
      <c r="D64" s="27" t="s">
        <v>82</v>
      </c>
      <c r="E64" s="27" t="s">
        <v>130</v>
      </c>
      <c r="F64" s="28">
        <v>0</v>
      </c>
      <c r="G64" s="31">
        <v>4</v>
      </c>
      <c r="H64" s="28">
        <v>0</v>
      </c>
      <c r="I64" s="28">
        <v>0</v>
      </c>
      <c r="J64" s="28">
        <v>0</v>
      </c>
      <c r="K64" s="28">
        <v>0</v>
      </c>
      <c r="L64" s="31">
        <v>1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31">
        <v>1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B64" s="35">
        <v>28</v>
      </c>
      <c r="AC64" s="35">
        <v>4</v>
      </c>
      <c r="AD64" s="35">
        <v>2</v>
      </c>
      <c r="AE64" s="35">
        <v>2</v>
      </c>
      <c r="AF64" s="35">
        <v>2</v>
      </c>
      <c r="AG64" s="35">
        <v>5</v>
      </c>
    </row>
    <row r="65" spans="2:33" s="2" customFormat="1" ht="49.5" customHeight="1" x14ac:dyDescent="0.25">
      <c r="B65" s="29" t="s">
        <v>78</v>
      </c>
      <c r="C65" s="27" t="s">
        <v>83</v>
      </c>
      <c r="D65" s="27" t="s">
        <v>141</v>
      </c>
      <c r="E65" s="27" t="s">
        <v>131</v>
      </c>
      <c r="F65" s="31">
        <v>2</v>
      </c>
      <c r="G65" s="31">
        <v>3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B65" s="35">
        <v>19</v>
      </c>
      <c r="AC65" s="35">
        <v>4</v>
      </c>
      <c r="AD65" s="35">
        <v>2</v>
      </c>
      <c r="AE65" s="35">
        <v>2</v>
      </c>
      <c r="AF65" s="35">
        <v>2</v>
      </c>
      <c r="AG65" s="35">
        <v>5</v>
      </c>
    </row>
    <row r="66" spans="2:33" s="2" customFormat="1" ht="44.25" customHeight="1" x14ac:dyDescent="0.25">
      <c r="B66" s="30" t="s">
        <v>78</v>
      </c>
      <c r="C66" s="27" t="s">
        <v>84</v>
      </c>
      <c r="D66" s="27" t="s">
        <v>85</v>
      </c>
      <c r="E66" s="27" t="s">
        <v>132</v>
      </c>
      <c r="F66" s="36">
        <v>1</v>
      </c>
      <c r="G66" s="36">
        <v>5</v>
      </c>
      <c r="H66" s="31">
        <v>1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B66" s="35">
        <v>67</v>
      </c>
      <c r="AC66" s="35">
        <v>2</v>
      </c>
      <c r="AD66" s="35">
        <v>3</v>
      </c>
      <c r="AE66" s="35">
        <v>3</v>
      </c>
      <c r="AF66" s="35">
        <v>1</v>
      </c>
      <c r="AG66" s="35">
        <v>3</v>
      </c>
    </row>
    <row r="67" spans="2:33" s="2" customFormat="1" ht="44.25" customHeight="1" x14ac:dyDescent="0.25">
      <c r="B67" s="30" t="s">
        <v>78</v>
      </c>
      <c r="C67" s="27" t="s">
        <v>84</v>
      </c>
      <c r="D67" s="27" t="s">
        <v>140</v>
      </c>
      <c r="E67" s="27" t="s">
        <v>132</v>
      </c>
      <c r="F67" s="28">
        <v>0</v>
      </c>
      <c r="G67" s="36">
        <v>1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B67" s="35">
        <v>8</v>
      </c>
      <c r="AC67" s="35">
        <v>1</v>
      </c>
      <c r="AD67" s="35">
        <v>1</v>
      </c>
      <c r="AE67" s="35">
        <v>1</v>
      </c>
      <c r="AF67" s="32">
        <v>0</v>
      </c>
      <c r="AG67" s="32">
        <v>0</v>
      </c>
    </row>
    <row r="68" spans="2:33" s="2" customFormat="1" ht="44.25" customHeight="1" x14ac:dyDescent="0.25">
      <c r="B68" s="30" t="s">
        <v>78</v>
      </c>
      <c r="C68" s="27" t="s">
        <v>84</v>
      </c>
      <c r="D68" s="27" t="s">
        <v>86</v>
      </c>
      <c r="E68" s="27" t="s">
        <v>132</v>
      </c>
      <c r="F68" s="28">
        <v>0</v>
      </c>
      <c r="G68" s="36">
        <v>2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B68" s="32">
        <v>0</v>
      </c>
      <c r="AC68" s="32">
        <v>0</v>
      </c>
      <c r="AD68" s="32">
        <v>0</v>
      </c>
      <c r="AE68" s="32">
        <v>0</v>
      </c>
      <c r="AF68" s="32">
        <v>0</v>
      </c>
      <c r="AG68" s="32">
        <v>0</v>
      </c>
    </row>
    <row r="69" spans="2:33" s="2" customFormat="1" ht="49.5" customHeight="1" x14ac:dyDescent="0.25">
      <c r="B69" s="29" t="s">
        <v>78</v>
      </c>
      <c r="C69" s="27" t="s">
        <v>87</v>
      </c>
      <c r="D69" s="27" t="s">
        <v>165</v>
      </c>
      <c r="E69" s="27" t="s">
        <v>132</v>
      </c>
      <c r="F69" s="28">
        <v>0</v>
      </c>
      <c r="G69" s="31">
        <v>2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B69" s="35">
        <v>13</v>
      </c>
      <c r="AC69" s="35">
        <v>3</v>
      </c>
      <c r="AD69" s="35">
        <v>1</v>
      </c>
      <c r="AE69" s="35">
        <v>1</v>
      </c>
      <c r="AF69" s="32">
        <v>0</v>
      </c>
      <c r="AG69" s="32">
        <v>0</v>
      </c>
    </row>
    <row r="70" spans="2:33" s="2" customFormat="1" ht="49.5" customHeight="1" x14ac:dyDescent="0.25">
      <c r="B70" s="29" t="s">
        <v>78</v>
      </c>
      <c r="C70" s="27" t="s">
        <v>87</v>
      </c>
      <c r="D70" s="27" t="s">
        <v>142</v>
      </c>
      <c r="E70" s="27" t="s">
        <v>132</v>
      </c>
      <c r="F70" s="28">
        <v>0</v>
      </c>
      <c r="G70" s="31">
        <v>1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B70" s="32">
        <v>0</v>
      </c>
      <c r="AC70" s="32">
        <v>0</v>
      </c>
      <c r="AD70" s="32">
        <v>0</v>
      </c>
      <c r="AE70" s="32">
        <v>0</v>
      </c>
      <c r="AF70" s="32">
        <v>0</v>
      </c>
      <c r="AG70" s="32">
        <v>0</v>
      </c>
    </row>
    <row r="71" spans="2:33" s="2" customFormat="1" ht="49.5" customHeight="1" x14ac:dyDescent="0.25">
      <c r="B71" s="29" t="s">
        <v>78</v>
      </c>
      <c r="C71" s="27" t="s">
        <v>87</v>
      </c>
      <c r="D71" s="27" t="s">
        <v>88</v>
      </c>
      <c r="E71" s="27" t="s">
        <v>133</v>
      </c>
      <c r="F71" s="28">
        <v>0</v>
      </c>
      <c r="G71" s="31">
        <v>3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31">
        <v>1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B71" s="35">
        <v>28</v>
      </c>
      <c r="AC71" s="35">
        <v>4</v>
      </c>
      <c r="AD71" s="32">
        <v>0</v>
      </c>
      <c r="AE71" s="32">
        <v>0</v>
      </c>
      <c r="AF71" s="35">
        <v>1</v>
      </c>
      <c r="AG71" s="35">
        <v>1</v>
      </c>
    </row>
    <row r="72" spans="2:33" s="2" customFormat="1" ht="49.5" customHeight="1" x14ac:dyDescent="0.25">
      <c r="B72" s="29" t="s">
        <v>78</v>
      </c>
      <c r="C72" s="27" t="s">
        <v>87</v>
      </c>
      <c r="D72" s="27" t="s">
        <v>192</v>
      </c>
      <c r="E72" s="27" t="s">
        <v>119</v>
      </c>
      <c r="F72" s="28">
        <v>0</v>
      </c>
      <c r="G72" s="31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31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B72" s="32">
        <v>0</v>
      </c>
      <c r="AC72" s="32">
        <v>0</v>
      </c>
      <c r="AD72" s="32">
        <v>0</v>
      </c>
      <c r="AE72" s="32">
        <v>0</v>
      </c>
      <c r="AF72" s="32">
        <v>0</v>
      </c>
      <c r="AG72" s="32">
        <v>0</v>
      </c>
    </row>
    <row r="73" spans="2:33" s="2" customFormat="1" ht="37.5" customHeight="1" x14ac:dyDescent="0.25">
      <c r="B73" s="30" t="s">
        <v>78</v>
      </c>
      <c r="C73" s="27" t="s">
        <v>89</v>
      </c>
      <c r="D73" s="27" t="s">
        <v>175</v>
      </c>
      <c r="E73" s="27" t="s">
        <v>120</v>
      </c>
      <c r="F73" s="33">
        <v>0</v>
      </c>
      <c r="G73" s="37">
        <v>3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34">
        <v>0</v>
      </c>
      <c r="V73" s="34">
        <v>0</v>
      </c>
      <c r="W73" s="34">
        <v>0</v>
      </c>
      <c r="X73" s="28">
        <v>0</v>
      </c>
      <c r="Y73" s="28">
        <v>0</v>
      </c>
      <c r="Z73" s="28">
        <v>0</v>
      </c>
      <c r="AB73" s="35">
        <v>24</v>
      </c>
      <c r="AC73" s="35">
        <v>1</v>
      </c>
      <c r="AD73" s="35">
        <v>1</v>
      </c>
      <c r="AE73" s="35">
        <v>1</v>
      </c>
      <c r="AF73" s="32">
        <v>0</v>
      </c>
      <c r="AG73" s="35">
        <v>4</v>
      </c>
    </row>
    <row r="74" spans="2:33" s="2" customFormat="1" ht="37.5" customHeight="1" x14ac:dyDescent="0.25">
      <c r="B74" s="30" t="s">
        <v>78</v>
      </c>
      <c r="C74" s="27" t="s">
        <v>89</v>
      </c>
      <c r="D74" s="27" t="s">
        <v>176</v>
      </c>
      <c r="E74" s="27" t="s">
        <v>118</v>
      </c>
      <c r="F74" s="33">
        <v>0</v>
      </c>
      <c r="G74" s="37">
        <v>1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34">
        <v>0</v>
      </c>
      <c r="V74" s="34">
        <v>0</v>
      </c>
      <c r="W74" s="34">
        <v>0</v>
      </c>
      <c r="X74" s="28">
        <v>0</v>
      </c>
      <c r="Y74" s="28">
        <v>0</v>
      </c>
      <c r="Z74" s="28">
        <v>0</v>
      </c>
      <c r="AB74" s="35">
        <v>8</v>
      </c>
      <c r="AC74" s="32">
        <v>0</v>
      </c>
      <c r="AD74" s="35">
        <v>1</v>
      </c>
      <c r="AE74" s="35">
        <v>1</v>
      </c>
      <c r="AF74" s="32">
        <v>0</v>
      </c>
      <c r="AG74" s="35">
        <v>2</v>
      </c>
    </row>
    <row r="75" spans="2:33" s="2" customFormat="1" ht="49.5" customHeight="1" x14ac:dyDescent="0.25">
      <c r="B75" s="29" t="s">
        <v>78</v>
      </c>
      <c r="C75" s="27" t="s">
        <v>90</v>
      </c>
      <c r="D75" s="27" t="s">
        <v>177</v>
      </c>
      <c r="E75" s="27" t="s">
        <v>116</v>
      </c>
      <c r="F75" s="28">
        <v>0</v>
      </c>
      <c r="G75" s="31">
        <v>3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B75" s="35">
        <v>9</v>
      </c>
      <c r="AC75" s="35">
        <v>2</v>
      </c>
      <c r="AD75" s="35">
        <v>1</v>
      </c>
      <c r="AE75" s="35">
        <v>1</v>
      </c>
      <c r="AF75" s="35">
        <v>1</v>
      </c>
      <c r="AG75" s="35">
        <v>2</v>
      </c>
    </row>
    <row r="76" spans="2:33" s="2" customFormat="1" ht="49.5" customHeight="1" x14ac:dyDescent="0.25">
      <c r="B76" s="29" t="s">
        <v>78</v>
      </c>
      <c r="C76" s="27" t="s">
        <v>91</v>
      </c>
      <c r="D76" s="27" t="s">
        <v>166</v>
      </c>
      <c r="E76" s="27" t="s">
        <v>117</v>
      </c>
      <c r="F76" s="28">
        <v>0</v>
      </c>
      <c r="G76" s="31">
        <v>3</v>
      </c>
      <c r="H76" s="28">
        <v>0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B76" s="35">
        <v>11</v>
      </c>
      <c r="AC76" s="35">
        <v>2</v>
      </c>
      <c r="AD76" s="35">
        <v>1</v>
      </c>
      <c r="AE76" s="35">
        <v>1</v>
      </c>
      <c r="AF76" s="32">
        <v>0</v>
      </c>
      <c r="AG76" s="35">
        <v>6</v>
      </c>
    </row>
    <row r="77" spans="2:33" s="2" customFormat="1" ht="49.5" customHeight="1" x14ac:dyDescent="0.25">
      <c r="B77" s="29" t="s">
        <v>78</v>
      </c>
      <c r="C77" s="27" t="s">
        <v>91</v>
      </c>
      <c r="D77" s="27" t="s">
        <v>199</v>
      </c>
      <c r="E77" s="27" t="s">
        <v>116</v>
      </c>
      <c r="F77" s="28">
        <v>0</v>
      </c>
      <c r="G77" s="31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31">
        <v>1</v>
      </c>
      <c r="X77" s="28">
        <v>0</v>
      </c>
      <c r="Y77" s="28">
        <v>0</v>
      </c>
      <c r="Z77" s="28">
        <v>0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32">
        <v>0</v>
      </c>
    </row>
    <row r="78" spans="2:33" s="2" customFormat="1" ht="49.5" customHeight="1" x14ac:dyDescent="0.25">
      <c r="B78" s="29" t="s">
        <v>78</v>
      </c>
      <c r="C78" s="27" t="s">
        <v>91</v>
      </c>
      <c r="D78" s="27" t="s">
        <v>92</v>
      </c>
      <c r="E78" s="27" t="s">
        <v>134</v>
      </c>
      <c r="F78" s="28">
        <v>0</v>
      </c>
      <c r="G78" s="31">
        <v>1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B78" s="35">
        <v>5</v>
      </c>
      <c r="AC78" s="35">
        <v>2</v>
      </c>
      <c r="AD78" s="35">
        <v>1</v>
      </c>
      <c r="AE78" s="35">
        <v>1</v>
      </c>
      <c r="AF78" s="32">
        <v>0</v>
      </c>
      <c r="AG78" s="35">
        <v>1</v>
      </c>
    </row>
    <row r="79" spans="2:33" s="2" customFormat="1" ht="44.25" customHeight="1" x14ac:dyDescent="0.25">
      <c r="B79" s="30" t="s">
        <v>78</v>
      </c>
      <c r="C79" s="27" t="s">
        <v>93</v>
      </c>
      <c r="D79" s="27" t="s">
        <v>167</v>
      </c>
      <c r="E79" s="27" t="s">
        <v>135</v>
      </c>
      <c r="F79" s="28">
        <v>0</v>
      </c>
      <c r="G79" s="36">
        <v>3</v>
      </c>
      <c r="H79" s="31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B79" s="35">
        <v>19</v>
      </c>
      <c r="AC79" s="32">
        <v>0</v>
      </c>
      <c r="AD79" s="35">
        <v>1</v>
      </c>
      <c r="AE79" s="35">
        <v>1</v>
      </c>
      <c r="AF79" s="32">
        <v>0</v>
      </c>
      <c r="AG79" s="35">
        <v>2</v>
      </c>
    </row>
    <row r="80" spans="2:33" s="2" customFormat="1" ht="44.25" customHeight="1" x14ac:dyDescent="0.25">
      <c r="B80" s="30" t="s">
        <v>78</v>
      </c>
      <c r="C80" s="27" t="s">
        <v>93</v>
      </c>
      <c r="D80" s="27" t="s">
        <v>194</v>
      </c>
      <c r="E80" s="27" t="s">
        <v>136</v>
      </c>
      <c r="F80" s="28">
        <v>0</v>
      </c>
      <c r="G80" s="36">
        <v>2</v>
      </c>
      <c r="H80" s="31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B80" s="35">
        <v>16</v>
      </c>
      <c r="AC80" s="32">
        <v>0</v>
      </c>
      <c r="AD80" s="35">
        <v>1</v>
      </c>
      <c r="AE80" s="35">
        <v>1</v>
      </c>
      <c r="AF80" s="32">
        <v>0</v>
      </c>
      <c r="AG80" s="32">
        <v>0</v>
      </c>
    </row>
    <row r="81" spans="2:33" s="2" customFormat="1" ht="44.25" customHeight="1" x14ac:dyDescent="0.25">
      <c r="B81" s="30" t="s">
        <v>78</v>
      </c>
      <c r="C81" s="27" t="s">
        <v>93</v>
      </c>
      <c r="D81" s="27" t="s">
        <v>143</v>
      </c>
      <c r="E81" s="27" t="s">
        <v>122</v>
      </c>
      <c r="F81" s="28">
        <v>0</v>
      </c>
      <c r="G81" s="36">
        <v>3</v>
      </c>
      <c r="H81" s="31">
        <v>0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B81" s="35">
        <v>15</v>
      </c>
      <c r="AC81" s="32">
        <v>0</v>
      </c>
      <c r="AD81" s="35">
        <v>1</v>
      </c>
      <c r="AE81" s="35">
        <v>1</v>
      </c>
      <c r="AF81" s="32">
        <v>0</v>
      </c>
      <c r="AG81" s="35">
        <v>2</v>
      </c>
    </row>
    <row r="82" spans="2:33" s="2" customFormat="1" ht="44.25" customHeight="1" x14ac:dyDescent="0.25">
      <c r="B82" s="30" t="s">
        <v>78</v>
      </c>
      <c r="C82" s="27" t="s">
        <v>93</v>
      </c>
      <c r="D82" s="27" t="s">
        <v>94</v>
      </c>
      <c r="E82" s="27" t="s">
        <v>137</v>
      </c>
      <c r="F82" s="28">
        <v>0</v>
      </c>
      <c r="G82" s="36">
        <v>1</v>
      </c>
      <c r="H82" s="31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B82" s="35">
        <v>22</v>
      </c>
      <c r="AC82" s="35">
        <v>4</v>
      </c>
      <c r="AD82" s="35">
        <v>1</v>
      </c>
      <c r="AE82" s="35">
        <v>1</v>
      </c>
      <c r="AF82" s="32">
        <v>0</v>
      </c>
      <c r="AG82" s="35">
        <v>4</v>
      </c>
    </row>
    <row r="83" spans="2:33" s="2" customFormat="1" ht="49.5" customHeight="1" x14ac:dyDescent="0.25">
      <c r="B83" s="29" t="s">
        <v>78</v>
      </c>
      <c r="C83" s="27" t="s">
        <v>95</v>
      </c>
      <c r="D83" s="27" t="s">
        <v>193</v>
      </c>
      <c r="E83" s="27" t="s">
        <v>138</v>
      </c>
      <c r="F83" s="28">
        <v>0</v>
      </c>
      <c r="G83" s="31">
        <v>5</v>
      </c>
      <c r="H83" s="31">
        <v>1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B83" s="35">
        <v>8</v>
      </c>
      <c r="AC83" s="35">
        <v>2</v>
      </c>
      <c r="AD83" s="35">
        <v>1</v>
      </c>
      <c r="AE83" s="35">
        <v>1</v>
      </c>
      <c r="AF83" s="32">
        <v>0</v>
      </c>
      <c r="AG83" s="32">
        <v>0</v>
      </c>
    </row>
    <row r="84" spans="2:33" s="2" customFormat="1" ht="49.5" customHeight="1" x14ac:dyDescent="0.25">
      <c r="B84" s="29" t="s">
        <v>78</v>
      </c>
      <c r="C84" s="27" t="s">
        <v>95</v>
      </c>
      <c r="D84" s="27" t="s">
        <v>168</v>
      </c>
      <c r="E84" s="27" t="s">
        <v>138</v>
      </c>
      <c r="F84" s="28">
        <v>0</v>
      </c>
      <c r="G84" s="31">
        <v>1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58">
        <f>+AA85*1</f>
        <v>1029073110.9627131</v>
      </c>
      <c r="AB84" s="35">
        <v>12</v>
      </c>
      <c r="AC84" s="32">
        <v>0</v>
      </c>
      <c r="AD84" s="35">
        <v>1</v>
      </c>
      <c r="AE84" s="35">
        <v>1</v>
      </c>
      <c r="AF84" s="32">
        <v>0</v>
      </c>
      <c r="AG84" s="32">
        <v>0</v>
      </c>
    </row>
    <row r="85" spans="2:33" s="2" customFormat="1" ht="49.5" customHeight="1" x14ac:dyDescent="0.25">
      <c r="B85" s="29" t="s">
        <v>78</v>
      </c>
      <c r="C85" s="27" t="s">
        <v>95</v>
      </c>
      <c r="D85" s="27" t="s">
        <v>139</v>
      </c>
      <c r="E85" s="27" t="s">
        <v>197</v>
      </c>
      <c r="F85" s="28">
        <v>0</v>
      </c>
      <c r="G85" s="31">
        <v>2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58">
        <f>+(F86*F97)+(G86*G97)+(H86*H97)+(L86*L97)+(P86*P97)+(U86*U97)+(W86*W97)</f>
        <v>1029073110.9627131</v>
      </c>
      <c r="AB85" s="32">
        <v>0</v>
      </c>
      <c r="AC85" s="32">
        <v>0</v>
      </c>
      <c r="AD85" s="32">
        <v>0</v>
      </c>
      <c r="AE85" s="32">
        <v>0</v>
      </c>
      <c r="AF85" s="32">
        <v>0</v>
      </c>
      <c r="AG85" s="32">
        <v>0</v>
      </c>
    </row>
    <row r="86" spans="2:33" s="53" customFormat="1" ht="25.5" customHeight="1" x14ac:dyDescent="0.25">
      <c r="B86" s="165" t="s">
        <v>96</v>
      </c>
      <c r="C86" s="165"/>
      <c r="D86" s="165"/>
      <c r="E86" s="165"/>
      <c r="F86" s="85">
        <f t="shared" ref="F86:Z86" si="10">SUM(F58:F85)</f>
        <v>3</v>
      </c>
      <c r="G86" s="85">
        <f t="shared" si="10"/>
        <v>62</v>
      </c>
      <c r="H86" s="85">
        <f t="shared" si="10"/>
        <v>2</v>
      </c>
      <c r="I86" s="85">
        <f t="shared" si="10"/>
        <v>0</v>
      </c>
      <c r="J86" s="85">
        <f t="shared" si="10"/>
        <v>0</v>
      </c>
      <c r="K86" s="85">
        <f t="shared" si="10"/>
        <v>0</v>
      </c>
      <c r="L86" s="85">
        <f t="shared" si="10"/>
        <v>1</v>
      </c>
      <c r="M86" s="85">
        <f t="shared" si="10"/>
        <v>0</v>
      </c>
      <c r="N86" s="85">
        <f t="shared" si="10"/>
        <v>0</v>
      </c>
      <c r="O86" s="85">
        <f t="shared" si="10"/>
        <v>0</v>
      </c>
      <c r="P86" s="85">
        <f t="shared" si="10"/>
        <v>2</v>
      </c>
      <c r="Q86" s="85">
        <f t="shared" si="10"/>
        <v>0</v>
      </c>
      <c r="R86" s="85">
        <f t="shared" si="10"/>
        <v>0</v>
      </c>
      <c r="S86" s="85">
        <f t="shared" si="10"/>
        <v>0</v>
      </c>
      <c r="T86" s="85">
        <f t="shared" si="10"/>
        <v>0</v>
      </c>
      <c r="U86" s="85">
        <f t="shared" si="10"/>
        <v>1</v>
      </c>
      <c r="V86" s="85">
        <f t="shared" si="10"/>
        <v>0</v>
      </c>
      <c r="W86" s="85">
        <f t="shared" si="10"/>
        <v>1</v>
      </c>
      <c r="X86" s="85">
        <f t="shared" si="10"/>
        <v>0</v>
      </c>
      <c r="Y86" s="85">
        <f t="shared" si="10"/>
        <v>0</v>
      </c>
      <c r="Z86" s="85">
        <f t="shared" si="10"/>
        <v>0</v>
      </c>
      <c r="AA86" s="86">
        <f>SUM(F86:Z86)</f>
        <v>72</v>
      </c>
      <c r="AB86" s="89">
        <f t="shared" ref="AB86:AG86" si="11">SUM(AB58:AB85)</f>
        <v>377</v>
      </c>
      <c r="AC86" s="89">
        <f t="shared" si="11"/>
        <v>34</v>
      </c>
      <c r="AD86" s="89">
        <f t="shared" si="11"/>
        <v>23</v>
      </c>
      <c r="AE86" s="89">
        <f t="shared" si="11"/>
        <v>23</v>
      </c>
      <c r="AF86" s="89">
        <f t="shared" si="11"/>
        <v>10</v>
      </c>
      <c r="AG86" s="89">
        <f t="shared" si="11"/>
        <v>41</v>
      </c>
    </row>
    <row r="87" spans="2:33" s="54" customFormat="1" ht="6" customHeight="1" x14ac:dyDescent="0.25">
      <c r="B87" s="55"/>
      <c r="C87" s="55"/>
      <c r="D87" s="55"/>
      <c r="E87" s="55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7"/>
    </row>
    <row r="88" spans="2:33" s="4" customFormat="1" ht="35.25" customHeight="1" x14ac:dyDescent="0.25">
      <c r="B88" s="3"/>
      <c r="C88" s="3"/>
      <c r="D88" s="3"/>
      <c r="E88" s="90" t="s">
        <v>97</v>
      </c>
      <c r="F88" s="91">
        <f t="shared" ref="F88:Z88" si="12">+F12+F18+F33+F49+F57+F86</f>
        <v>9</v>
      </c>
      <c r="G88" s="91">
        <f t="shared" si="12"/>
        <v>167</v>
      </c>
      <c r="H88" s="91">
        <f t="shared" si="12"/>
        <v>7</v>
      </c>
      <c r="I88" s="91">
        <f t="shared" si="12"/>
        <v>0</v>
      </c>
      <c r="J88" s="91">
        <f t="shared" si="12"/>
        <v>0</v>
      </c>
      <c r="K88" s="91">
        <f t="shared" si="12"/>
        <v>0</v>
      </c>
      <c r="L88" s="91">
        <f t="shared" si="12"/>
        <v>2</v>
      </c>
      <c r="M88" s="91">
        <f t="shared" si="12"/>
        <v>1</v>
      </c>
      <c r="N88" s="91">
        <f t="shared" si="12"/>
        <v>0</v>
      </c>
      <c r="O88" s="91">
        <f t="shared" si="12"/>
        <v>0</v>
      </c>
      <c r="P88" s="91">
        <f t="shared" si="12"/>
        <v>6</v>
      </c>
      <c r="Q88" s="91">
        <f t="shared" si="12"/>
        <v>4</v>
      </c>
      <c r="R88" s="91">
        <f t="shared" si="12"/>
        <v>0</v>
      </c>
      <c r="S88" s="91">
        <f t="shared" si="12"/>
        <v>0</v>
      </c>
      <c r="T88" s="91">
        <f t="shared" si="12"/>
        <v>0</v>
      </c>
      <c r="U88" s="91">
        <f t="shared" si="12"/>
        <v>1</v>
      </c>
      <c r="V88" s="91">
        <f t="shared" si="12"/>
        <v>2</v>
      </c>
      <c r="W88" s="91">
        <f t="shared" si="12"/>
        <v>1</v>
      </c>
      <c r="X88" s="91">
        <f t="shared" si="12"/>
        <v>1</v>
      </c>
      <c r="Y88" s="91">
        <f t="shared" si="12"/>
        <v>2</v>
      </c>
      <c r="Z88" s="91">
        <f t="shared" si="12"/>
        <v>0</v>
      </c>
      <c r="AA88" s="51"/>
      <c r="AB88" s="92">
        <f t="shared" ref="AB88:AG88" si="13">+AB12+AB18+AB33+AB49+AB57+AB86</f>
        <v>888</v>
      </c>
      <c r="AC88" s="92">
        <f t="shared" si="13"/>
        <v>99</v>
      </c>
      <c r="AD88" s="92">
        <f t="shared" si="13"/>
        <v>63</v>
      </c>
      <c r="AE88" s="92">
        <f t="shared" si="13"/>
        <v>61</v>
      </c>
      <c r="AF88" s="92">
        <f t="shared" si="13"/>
        <v>17</v>
      </c>
      <c r="AG88" s="92">
        <f t="shared" si="13"/>
        <v>94</v>
      </c>
    </row>
    <row r="89" spans="2:33" s="4" customFormat="1" ht="20.25" customHeight="1" x14ac:dyDescent="0.25">
      <c r="B89" s="3"/>
      <c r="C89" s="5"/>
      <c r="D89" s="5"/>
      <c r="E89" s="65" t="s">
        <v>98</v>
      </c>
      <c r="F89" s="66">
        <v>3</v>
      </c>
      <c r="G89" s="66">
        <v>3</v>
      </c>
      <c r="H89" s="66">
        <v>3</v>
      </c>
      <c r="I89" s="66">
        <v>3</v>
      </c>
      <c r="J89" s="66">
        <v>3</v>
      </c>
      <c r="K89" s="66">
        <v>3</v>
      </c>
      <c r="L89" s="66">
        <v>2</v>
      </c>
      <c r="M89" s="66">
        <v>2</v>
      </c>
      <c r="N89" s="66">
        <v>2</v>
      </c>
      <c r="O89" s="66">
        <v>1.5</v>
      </c>
      <c r="P89" s="67">
        <v>1.5</v>
      </c>
      <c r="Q89" s="67">
        <v>1.5</v>
      </c>
      <c r="R89" s="66">
        <v>1.5</v>
      </c>
      <c r="S89" s="66">
        <v>1.5</v>
      </c>
      <c r="T89" s="66">
        <v>1.5</v>
      </c>
      <c r="U89" s="66">
        <v>1</v>
      </c>
      <c r="V89" s="66">
        <v>1</v>
      </c>
      <c r="W89" s="66">
        <v>1</v>
      </c>
      <c r="X89" s="66">
        <v>1</v>
      </c>
      <c r="Y89" s="66">
        <v>1</v>
      </c>
      <c r="Z89" s="66">
        <v>1</v>
      </c>
      <c r="AA89" s="52"/>
    </row>
    <row r="90" spans="2:33" s="4" customFormat="1" ht="20.25" customHeight="1" x14ac:dyDescent="0.25">
      <c r="B90" s="3"/>
      <c r="C90" s="5"/>
      <c r="D90" s="5"/>
      <c r="E90" s="65" t="s">
        <v>99</v>
      </c>
      <c r="F90" s="66">
        <f>F89*F88</f>
        <v>27</v>
      </c>
      <c r="G90" s="66">
        <f t="shared" ref="G90:Z90" si="14">G89*G88</f>
        <v>501</v>
      </c>
      <c r="H90" s="66">
        <f t="shared" si="14"/>
        <v>21</v>
      </c>
      <c r="I90" s="66">
        <f t="shared" si="14"/>
        <v>0</v>
      </c>
      <c r="J90" s="66">
        <f t="shared" si="14"/>
        <v>0</v>
      </c>
      <c r="K90" s="66">
        <f t="shared" si="14"/>
        <v>0</v>
      </c>
      <c r="L90" s="66">
        <f t="shared" si="14"/>
        <v>4</v>
      </c>
      <c r="M90" s="66">
        <f t="shared" si="14"/>
        <v>2</v>
      </c>
      <c r="N90" s="66">
        <f t="shared" si="14"/>
        <v>0</v>
      </c>
      <c r="O90" s="66">
        <f t="shared" si="14"/>
        <v>0</v>
      </c>
      <c r="P90" s="67">
        <f t="shared" si="14"/>
        <v>9</v>
      </c>
      <c r="Q90" s="67">
        <f t="shared" si="14"/>
        <v>6</v>
      </c>
      <c r="R90" s="67">
        <f t="shared" si="14"/>
        <v>0</v>
      </c>
      <c r="S90" s="67">
        <f t="shared" si="14"/>
        <v>0</v>
      </c>
      <c r="T90" s="67">
        <f t="shared" si="14"/>
        <v>0</v>
      </c>
      <c r="U90" s="66">
        <f t="shared" si="14"/>
        <v>1</v>
      </c>
      <c r="V90" s="66">
        <f t="shared" si="14"/>
        <v>2</v>
      </c>
      <c r="W90" s="66">
        <f t="shared" si="14"/>
        <v>1</v>
      </c>
      <c r="X90" s="66">
        <f t="shared" si="14"/>
        <v>1</v>
      </c>
      <c r="Y90" s="66">
        <f t="shared" si="14"/>
        <v>2</v>
      </c>
      <c r="Z90" s="66">
        <f t="shared" si="14"/>
        <v>0</v>
      </c>
      <c r="AA90" s="51"/>
    </row>
    <row r="91" spans="2:33" s="4" customFormat="1" ht="35.25" customHeight="1" x14ac:dyDescent="0.25">
      <c r="B91" s="3"/>
      <c r="C91" s="5"/>
      <c r="D91" s="5"/>
      <c r="E91" s="65" t="s">
        <v>100</v>
      </c>
      <c r="F91" s="68">
        <v>3000</v>
      </c>
      <c r="G91" s="68">
        <f>$F$91</f>
        <v>3000</v>
      </c>
      <c r="H91" s="68">
        <f t="shared" ref="H91:Z91" si="15">$F$91</f>
        <v>3000</v>
      </c>
      <c r="I91" s="68">
        <f t="shared" si="15"/>
        <v>3000</v>
      </c>
      <c r="J91" s="68">
        <f t="shared" si="15"/>
        <v>3000</v>
      </c>
      <c r="K91" s="68">
        <f t="shared" si="15"/>
        <v>3000</v>
      </c>
      <c r="L91" s="68">
        <f t="shared" si="15"/>
        <v>3000</v>
      </c>
      <c r="M91" s="68">
        <f t="shared" si="15"/>
        <v>3000</v>
      </c>
      <c r="N91" s="68">
        <f t="shared" si="15"/>
        <v>3000</v>
      </c>
      <c r="O91" s="68">
        <f t="shared" si="15"/>
        <v>3000</v>
      </c>
      <c r="P91" s="68">
        <f t="shared" si="15"/>
        <v>3000</v>
      </c>
      <c r="Q91" s="68">
        <f t="shared" si="15"/>
        <v>3000</v>
      </c>
      <c r="R91" s="68">
        <f t="shared" si="15"/>
        <v>3000</v>
      </c>
      <c r="S91" s="68">
        <f t="shared" si="15"/>
        <v>3000</v>
      </c>
      <c r="T91" s="68">
        <f t="shared" si="15"/>
        <v>3000</v>
      </c>
      <c r="U91" s="68">
        <f t="shared" si="15"/>
        <v>3000</v>
      </c>
      <c r="V91" s="68">
        <f t="shared" si="15"/>
        <v>3000</v>
      </c>
      <c r="W91" s="68">
        <f t="shared" si="15"/>
        <v>3000</v>
      </c>
      <c r="X91" s="68">
        <f t="shared" si="15"/>
        <v>3000</v>
      </c>
      <c r="Y91" s="68">
        <f t="shared" si="15"/>
        <v>3000</v>
      </c>
      <c r="Z91" s="68">
        <f t="shared" si="15"/>
        <v>3000</v>
      </c>
      <c r="AA91" s="6"/>
    </row>
    <row r="92" spans="2:33" s="4" customFormat="1" ht="37.5" customHeight="1" x14ac:dyDescent="0.25">
      <c r="B92" s="3"/>
      <c r="C92" s="5"/>
      <c r="D92" s="5"/>
      <c r="E92" s="69" t="s">
        <v>101</v>
      </c>
      <c r="F92" s="70">
        <f>F91*F90</f>
        <v>81000</v>
      </c>
      <c r="G92" s="70">
        <f t="shared" ref="G92:Z92" si="16">G91*G90</f>
        <v>1503000</v>
      </c>
      <c r="H92" s="70">
        <f t="shared" si="16"/>
        <v>63000</v>
      </c>
      <c r="I92" s="70">
        <f t="shared" si="16"/>
        <v>0</v>
      </c>
      <c r="J92" s="70">
        <f t="shared" si="16"/>
        <v>0</v>
      </c>
      <c r="K92" s="70">
        <f t="shared" si="16"/>
        <v>0</v>
      </c>
      <c r="L92" s="70">
        <f t="shared" si="16"/>
        <v>12000</v>
      </c>
      <c r="M92" s="70">
        <f t="shared" si="16"/>
        <v>6000</v>
      </c>
      <c r="N92" s="70">
        <f t="shared" si="16"/>
        <v>0</v>
      </c>
      <c r="O92" s="70">
        <f t="shared" si="16"/>
        <v>0</v>
      </c>
      <c r="P92" s="70">
        <f t="shared" si="16"/>
        <v>27000</v>
      </c>
      <c r="Q92" s="70">
        <f t="shared" si="16"/>
        <v>18000</v>
      </c>
      <c r="R92" s="70">
        <f t="shared" si="16"/>
        <v>0</v>
      </c>
      <c r="S92" s="70">
        <f t="shared" si="16"/>
        <v>0</v>
      </c>
      <c r="T92" s="70">
        <f t="shared" si="16"/>
        <v>0</v>
      </c>
      <c r="U92" s="70">
        <f t="shared" si="16"/>
        <v>3000</v>
      </c>
      <c r="V92" s="70">
        <f t="shared" si="16"/>
        <v>6000</v>
      </c>
      <c r="W92" s="70">
        <f t="shared" si="16"/>
        <v>3000</v>
      </c>
      <c r="X92" s="70">
        <f t="shared" si="16"/>
        <v>3000</v>
      </c>
      <c r="Y92" s="70">
        <f t="shared" si="16"/>
        <v>6000</v>
      </c>
      <c r="Z92" s="70">
        <f t="shared" si="16"/>
        <v>0</v>
      </c>
      <c r="AA92" s="50"/>
    </row>
    <row r="94" spans="2:33" ht="20.25" customHeight="1" x14ac:dyDescent="0.25">
      <c r="C94" s="12"/>
      <c r="D94" s="12"/>
      <c r="E94" s="47" t="s">
        <v>102</v>
      </c>
      <c r="F94" s="45">
        <f>((9.53*1423500)+(500*3))</f>
        <v>13567455</v>
      </c>
      <c r="G94" s="45">
        <f>(9.53*1423500+(500*3))</f>
        <v>13567455</v>
      </c>
      <c r="H94" s="45">
        <f>(9.53*1423500+(500*3))</f>
        <v>13567455</v>
      </c>
      <c r="I94" s="45">
        <f>(9.29*1423500+(500*3))</f>
        <v>13225814.999999998</v>
      </c>
      <c r="J94" s="45">
        <f>(9.29*1423500+(500*3))/30*20</f>
        <v>8817209.9999999981</v>
      </c>
      <c r="K94" s="45">
        <f>(9.29*1423500+(500*3))/30*24</f>
        <v>10580651.999999998</v>
      </c>
      <c r="L94" s="45">
        <f>(((9.53*1423500+(500*3))*55.97%)+((9.53*1423500+(500*3))*44.03%/9*1))</f>
        <v>8257454.6119999997</v>
      </c>
      <c r="M94" s="45">
        <f>(((9.53*1423500+(500*3))*55.97%)+((9.53*1423500+(500*3))*44.03%/9*1))/30*20</f>
        <v>5504969.7413333328</v>
      </c>
      <c r="N94" s="45">
        <f>(((9.29*1423500+(500*3))*55.97%)+((9.29*1423500+(500*3))*44.03%/9*1))/30*24</f>
        <v>6439619.9327999987</v>
      </c>
      <c r="O94" s="45">
        <f>((9.53*1423500+(500*3))*55.97%/15*12)</f>
        <v>6074963.650799999</v>
      </c>
      <c r="P94" s="45">
        <f>((9.53*1423500+(500*3))*55.97%/15*12)/30*20</f>
        <v>4049975.7671999997</v>
      </c>
      <c r="Q94" s="45">
        <f>((9.53*1423500+(500*3))*55.97%/15*12)/30*24</f>
        <v>4859970.9206399992</v>
      </c>
      <c r="R94" s="45">
        <f>(((9.29*1423500+(500*3))*55.97%/15*3)+((9.29*1423500+(500*3))*44.03%/9*9))</f>
        <v>7303824.0755999992</v>
      </c>
      <c r="S94" s="45">
        <f>((((9.29*1423500+(500*3))*55.97%/15*3)+((9.29*1423500+(500*3))*44.03%/9*9))/30)*24</f>
        <v>5843059.2604799997</v>
      </c>
      <c r="T94" s="45">
        <f>(((9.29*1423500+(500*3))*55.97%/15*3)+((9.29*1423500+(500*3))*44.03%/9*9))</f>
        <v>7303824.0755999992</v>
      </c>
      <c r="U94" s="45">
        <f>((9.53*1423500+(500*3))*44.03%/9*8)</f>
        <v>5310000.3880000003</v>
      </c>
      <c r="V94" s="45">
        <f>((9.53*1423500+(500*3))*44.03%/9*8)</f>
        <v>5310000.3880000003</v>
      </c>
      <c r="W94" s="45">
        <f>(9.53*1423500+(500*3))*44.03%/9*8/30*20</f>
        <v>3540000.2586666672</v>
      </c>
      <c r="X94" s="45">
        <f>(9.53*1423500+(500*3))*55.97%/15*8/30*24</f>
        <v>3239980.6137599992</v>
      </c>
      <c r="Y94" s="45">
        <f>(9.53*1423500+(500*3))*55.97%/15*8/30*20</f>
        <v>2699983.8447999996</v>
      </c>
      <c r="Z94" s="45">
        <f>((9.53*1423500+(500*3))*55.97%/15*8)</f>
        <v>4049975.7671999997</v>
      </c>
      <c r="AB94" s="45">
        <v>11227</v>
      </c>
      <c r="AC94" s="45">
        <v>43635</v>
      </c>
      <c r="AD94" s="45">
        <v>55898</v>
      </c>
      <c r="AE94" s="45">
        <v>40588</v>
      </c>
      <c r="AF94" s="45">
        <v>127990</v>
      </c>
      <c r="AG94" s="45">
        <v>43069</v>
      </c>
    </row>
    <row r="95" spans="2:33" ht="20.25" customHeight="1" x14ac:dyDescent="0.25">
      <c r="C95" s="12"/>
      <c r="D95" s="12"/>
      <c r="E95" s="47" t="s">
        <v>103</v>
      </c>
      <c r="F95" s="45">
        <f>+F94*0.1</f>
        <v>1356745.5</v>
      </c>
      <c r="G95" s="45">
        <f>+G94*0.08</f>
        <v>1085396.3999999999</v>
      </c>
      <c r="H95" s="45">
        <f t="shared" ref="H95:Z95" si="17">+H94*0.08</f>
        <v>1085396.3999999999</v>
      </c>
      <c r="I95" s="45">
        <f>+I94*0.11</f>
        <v>1454839.65</v>
      </c>
      <c r="J95" s="45">
        <f t="shared" si="17"/>
        <v>705376.79999999981</v>
      </c>
      <c r="K95" s="45">
        <f t="shared" si="17"/>
        <v>846452.15999999992</v>
      </c>
      <c r="L95" s="45">
        <f t="shared" si="17"/>
        <v>660596.36895999999</v>
      </c>
      <c r="M95" s="45">
        <f t="shared" si="17"/>
        <v>440397.57930666662</v>
      </c>
      <c r="N95" s="45">
        <f t="shared" si="17"/>
        <v>515169.5946239999</v>
      </c>
      <c r="O95" s="45">
        <f t="shared" si="17"/>
        <v>485997.09206399991</v>
      </c>
      <c r="P95" s="45">
        <f t="shared" si="17"/>
        <v>323998.061376</v>
      </c>
      <c r="Q95" s="45">
        <f t="shared" si="17"/>
        <v>388797.67365119996</v>
      </c>
      <c r="R95" s="45">
        <f t="shared" si="17"/>
        <v>584305.92604799999</v>
      </c>
      <c r="S95" s="45">
        <f t="shared" si="17"/>
        <v>467444.74083839997</v>
      </c>
      <c r="T95" s="45">
        <f>+T94*0.1</f>
        <v>730382.40755999996</v>
      </c>
      <c r="U95" s="45">
        <f>+U94*0.1</f>
        <v>531000.0388000001</v>
      </c>
      <c r="V95" s="45">
        <f t="shared" si="17"/>
        <v>424800.03104000003</v>
      </c>
      <c r="W95" s="45">
        <f t="shared" si="17"/>
        <v>283200.02069333335</v>
      </c>
      <c r="X95" s="45">
        <f t="shared" si="17"/>
        <v>259198.44910079995</v>
      </c>
      <c r="Y95" s="45">
        <f t="shared" si="17"/>
        <v>215998.70758399996</v>
      </c>
      <c r="Z95" s="45">
        <f t="shared" si="17"/>
        <v>323998.061376</v>
      </c>
      <c r="AB95" s="45">
        <v>0</v>
      </c>
      <c r="AC95" s="45">
        <v>0</v>
      </c>
      <c r="AD95" s="45">
        <v>0</v>
      </c>
      <c r="AE95" s="45">
        <v>0</v>
      </c>
      <c r="AF95" s="45">
        <v>0</v>
      </c>
      <c r="AG95" s="45">
        <v>0</v>
      </c>
    </row>
    <row r="96" spans="2:33" ht="20.25" customHeight="1" x14ac:dyDescent="0.25">
      <c r="C96" s="12"/>
      <c r="D96" s="12"/>
      <c r="E96" s="47" t="s">
        <v>104</v>
      </c>
      <c r="F96" s="45">
        <f>+(F94+F95)*0.019</f>
        <v>283559.80949999997</v>
      </c>
      <c r="G96" s="45">
        <f t="shared" ref="G96:Z96" si="18">+(G94+G95)*0.019</f>
        <v>278404.17660000001</v>
      </c>
      <c r="H96" s="45">
        <f t="shared" si="18"/>
        <v>278404.17660000001</v>
      </c>
      <c r="I96" s="45">
        <f t="shared" si="18"/>
        <v>278932.43834999995</v>
      </c>
      <c r="J96" s="45">
        <f t="shared" si="18"/>
        <v>180929.14919999993</v>
      </c>
      <c r="K96" s="45">
        <f t="shared" si="18"/>
        <v>217114.97903999998</v>
      </c>
      <c r="L96" s="45">
        <f t="shared" si="18"/>
        <v>169442.96863824001</v>
      </c>
      <c r="M96" s="45">
        <f t="shared" si="18"/>
        <v>112961.97909215999</v>
      </c>
      <c r="N96" s="45">
        <f t="shared" si="18"/>
        <v>132141.00102105597</v>
      </c>
      <c r="O96" s="45">
        <f t="shared" si="18"/>
        <v>124658.25411441598</v>
      </c>
      <c r="P96" s="45">
        <f t="shared" si="18"/>
        <v>83105.502742943994</v>
      </c>
      <c r="Q96" s="45">
        <f t="shared" si="18"/>
        <v>99726.603291532781</v>
      </c>
      <c r="R96" s="45">
        <f t="shared" si="18"/>
        <v>149874.470031312</v>
      </c>
      <c r="S96" s="45">
        <f t="shared" si="18"/>
        <v>119899.5760250496</v>
      </c>
      <c r="T96" s="45">
        <f t="shared" si="18"/>
        <v>152649.92318003997</v>
      </c>
      <c r="U96" s="45">
        <f t="shared" si="18"/>
        <v>110979.0081092</v>
      </c>
      <c r="V96" s="45">
        <f t="shared" si="18"/>
        <v>108961.20796176</v>
      </c>
      <c r="W96" s="45">
        <f t="shared" si="18"/>
        <v>72640.805307840012</v>
      </c>
      <c r="X96" s="45">
        <f t="shared" si="18"/>
        <v>66484.402194355178</v>
      </c>
      <c r="Y96" s="45">
        <f t="shared" si="18"/>
        <v>55403.668495295984</v>
      </c>
      <c r="Z96" s="45">
        <f t="shared" si="18"/>
        <v>83105.502742943994</v>
      </c>
      <c r="AB96" s="45">
        <f>+AB94*0.19</f>
        <v>2133.13</v>
      </c>
      <c r="AC96" s="45">
        <f t="shared" ref="AC96:AG96" si="19">+AC94*0.19</f>
        <v>8290.65</v>
      </c>
      <c r="AD96" s="45">
        <f t="shared" si="19"/>
        <v>10620.62</v>
      </c>
      <c r="AE96" s="45">
        <f t="shared" si="19"/>
        <v>7711.72</v>
      </c>
      <c r="AF96" s="45">
        <f t="shared" si="19"/>
        <v>24318.1</v>
      </c>
      <c r="AG96" s="45">
        <f t="shared" si="19"/>
        <v>8183.11</v>
      </c>
    </row>
    <row r="97" spans="2:33" ht="20.25" customHeight="1" x14ac:dyDescent="0.25">
      <c r="C97" s="12"/>
      <c r="D97" s="12"/>
      <c r="E97" s="48" t="s">
        <v>105</v>
      </c>
      <c r="F97" s="49">
        <f>+F94+F95+F96</f>
        <v>15207760.3095</v>
      </c>
      <c r="G97" s="49">
        <f>+G94+G95+G96</f>
        <v>14931255.5766</v>
      </c>
      <c r="H97" s="49">
        <f t="shared" ref="H97:Z97" si="20">+H94+H95+H96</f>
        <v>14931255.5766</v>
      </c>
      <c r="I97" s="49">
        <f t="shared" si="20"/>
        <v>14959587.088349998</v>
      </c>
      <c r="J97" s="49">
        <f t="shared" si="20"/>
        <v>9703515.9491999969</v>
      </c>
      <c r="K97" s="49">
        <f t="shared" si="20"/>
        <v>11644219.139039999</v>
      </c>
      <c r="L97" s="49">
        <f>+L94+L95+L96</f>
        <v>9087493.9495982397</v>
      </c>
      <c r="M97" s="49">
        <f t="shared" si="20"/>
        <v>6058329.2997321598</v>
      </c>
      <c r="N97" s="49">
        <f t="shared" si="20"/>
        <v>7086930.5284450538</v>
      </c>
      <c r="O97" s="49">
        <f t="shared" si="20"/>
        <v>6685618.9969784152</v>
      </c>
      <c r="P97" s="49">
        <f t="shared" si="20"/>
        <v>4457079.3313189438</v>
      </c>
      <c r="Q97" s="49">
        <f t="shared" si="20"/>
        <v>5348495.197582732</v>
      </c>
      <c r="R97" s="49">
        <f t="shared" si="20"/>
        <v>8038004.4716793112</v>
      </c>
      <c r="S97" s="49">
        <f t="shared" si="20"/>
        <v>6430403.577343449</v>
      </c>
      <c r="T97" s="49">
        <f t="shared" si="20"/>
        <v>8186856.4063400393</v>
      </c>
      <c r="U97" s="49">
        <f t="shared" si="20"/>
        <v>5951979.4349092003</v>
      </c>
      <c r="V97" s="49">
        <f t="shared" si="20"/>
        <v>5843761.6270017605</v>
      </c>
      <c r="W97" s="49">
        <f t="shared" si="20"/>
        <v>3895841.0846678405</v>
      </c>
      <c r="X97" s="49">
        <f t="shared" si="20"/>
        <v>3565663.4650551542</v>
      </c>
      <c r="Y97" s="49">
        <f t="shared" si="20"/>
        <v>2971386.2208792954</v>
      </c>
      <c r="Z97" s="49">
        <f t="shared" si="20"/>
        <v>4457079.3313189438</v>
      </c>
      <c r="AB97" s="44">
        <f>+AB94+AB96</f>
        <v>13360.130000000001</v>
      </c>
      <c r="AC97" s="44">
        <f t="shared" ref="AC97:AG97" si="21">+AC94+AC96</f>
        <v>51925.65</v>
      </c>
      <c r="AD97" s="44">
        <f t="shared" si="21"/>
        <v>66518.62</v>
      </c>
      <c r="AE97" s="44">
        <f t="shared" si="21"/>
        <v>48299.72</v>
      </c>
      <c r="AF97" s="44">
        <f t="shared" si="21"/>
        <v>152308.1</v>
      </c>
      <c r="AG97" s="44">
        <f t="shared" si="21"/>
        <v>51252.11</v>
      </c>
    </row>
    <row r="99" spans="2:33" ht="18" customHeight="1" x14ac:dyDescent="0.25">
      <c r="C99" s="12"/>
      <c r="D99" s="12"/>
      <c r="E99" s="74" t="s">
        <v>106</v>
      </c>
      <c r="F99" s="75">
        <f>(F88)*(F$94+F$95)</f>
        <v>134317804.5</v>
      </c>
      <c r="G99" s="75">
        <f>+(G88)*(G$94+G$95)</f>
        <v>2447026183.8000002</v>
      </c>
      <c r="H99" s="75">
        <f>+H88*(H$94+H$95)</f>
        <v>102569959.8</v>
      </c>
      <c r="I99" s="75">
        <f t="shared" ref="I99:Z99" si="22">+I88*(I$94+I$95)</f>
        <v>0</v>
      </c>
      <c r="J99" s="75">
        <f t="shared" si="22"/>
        <v>0</v>
      </c>
      <c r="K99" s="75">
        <f t="shared" si="22"/>
        <v>0</v>
      </c>
      <c r="L99" s="75">
        <f t="shared" si="22"/>
        <v>17836101.961920001</v>
      </c>
      <c r="M99" s="75">
        <f>+M88*(M$94+M$95)</f>
        <v>5945367.3206399996</v>
      </c>
      <c r="N99" s="75">
        <f t="shared" si="22"/>
        <v>0</v>
      </c>
      <c r="O99" s="75">
        <f t="shared" si="22"/>
        <v>0</v>
      </c>
      <c r="P99" s="75">
        <f t="shared" si="22"/>
        <v>26243842.971455999</v>
      </c>
      <c r="Q99" s="75">
        <f t="shared" si="22"/>
        <v>20995074.377164796</v>
      </c>
      <c r="R99" s="75">
        <f t="shared" si="22"/>
        <v>0</v>
      </c>
      <c r="S99" s="75">
        <f t="shared" si="22"/>
        <v>0</v>
      </c>
      <c r="T99" s="75">
        <f t="shared" si="22"/>
        <v>0</v>
      </c>
      <c r="U99" s="75">
        <f t="shared" si="22"/>
        <v>5841000.4268000005</v>
      </c>
      <c r="V99" s="75">
        <f t="shared" si="22"/>
        <v>11469600.83808</v>
      </c>
      <c r="W99" s="75">
        <f t="shared" si="22"/>
        <v>3823200.2793600005</v>
      </c>
      <c r="X99" s="75">
        <f t="shared" si="22"/>
        <v>3499179.062860799</v>
      </c>
      <c r="Y99" s="75">
        <f t="shared" si="22"/>
        <v>5831965.1047679987</v>
      </c>
      <c r="Z99" s="75">
        <f t="shared" si="22"/>
        <v>0</v>
      </c>
      <c r="AA99" s="10"/>
      <c r="AB99" s="76">
        <f>+AB88*(AB94+AB95)</f>
        <v>9969576</v>
      </c>
      <c r="AC99" s="76">
        <f t="shared" ref="AC99:AG99" si="23">+AC88*(AC94+AC95)</f>
        <v>4319865</v>
      </c>
      <c r="AD99" s="76">
        <f t="shared" si="23"/>
        <v>3521574</v>
      </c>
      <c r="AE99" s="76">
        <f t="shared" si="23"/>
        <v>2475868</v>
      </c>
      <c r="AF99" s="76">
        <f t="shared" si="23"/>
        <v>2175830</v>
      </c>
      <c r="AG99" s="76">
        <f t="shared" si="23"/>
        <v>4048486</v>
      </c>
    </row>
    <row r="100" spans="2:33" s="12" customFormat="1" ht="18" customHeight="1" x14ac:dyDescent="0.25">
      <c r="E100" s="74" t="s">
        <v>107</v>
      </c>
      <c r="F100" s="75">
        <f>(F$96*F88)</f>
        <v>2552038.2854999998</v>
      </c>
      <c r="G100" s="75">
        <f>(G$96)*(G88)</f>
        <v>46493497.492200002</v>
      </c>
      <c r="H100" s="75">
        <f>(H$96*H88)</f>
        <v>1948829.2362000002</v>
      </c>
      <c r="I100" s="75">
        <f t="shared" ref="I100:Z100" si="24">(I$96*I88)</f>
        <v>0</v>
      </c>
      <c r="J100" s="75">
        <f t="shared" si="24"/>
        <v>0</v>
      </c>
      <c r="K100" s="75">
        <f t="shared" si="24"/>
        <v>0</v>
      </c>
      <c r="L100" s="75">
        <f t="shared" si="24"/>
        <v>338885.93727648002</v>
      </c>
      <c r="M100" s="75">
        <f t="shared" si="24"/>
        <v>112961.97909215999</v>
      </c>
      <c r="N100" s="75">
        <f t="shared" si="24"/>
        <v>0</v>
      </c>
      <c r="O100" s="75">
        <f t="shared" si="24"/>
        <v>0</v>
      </c>
      <c r="P100" s="75">
        <f t="shared" si="24"/>
        <v>498633.01645766397</v>
      </c>
      <c r="Q100" s="75">
        <f t="shared" si="24"/>
        <v>398906.41316613113</v>
      </c>
      <c r="R100" s="75">
        <f t="shared" si="24"/>
        <v>0</v>
      </c>
      <c r="S100" s="75">
        <f t="shared" si="24"/>
        <v>0</v>
      </c>
      <c r="T100" s="75">
        <f t="shared" si="24"/>
        <v>0</v>
      </c>
      <c r="U100" s="75">
        <f t="shared" si="24"/>
        <v>110979.0081092</v>
      </c>
      <c r="V100" s="75">
        <f t="shared" si="24"/>
        <v>217922.41592351999</v>
      </c>
      <c r="W100" s="75">
        <f t="shared" si="24"/>
        <v>72640.805307840012</v>
      </c>
      <c r="X100" s="75">
        <f t="shared" si="24"/>
        <v>66484.402194355178</v>
      </c>
      <c r="Y100" s="75">
        <f t="shared" si="24"/>
        <v>110807.33699059197</v>
      </c>
      <c r="Z100" s="75">
        <f t="shared" si="24"/>
        <v>0</v>
      </c>
      <c r="AA100" s="11"/>
      <c r="AB100" s="76">
        <f t="shared" ref="AB100:AG100" si="25">+ROUND(((AB12+AB18+AB33+AB49+AB57+AB86)*AB96),0)</f>
        <v>1894219</v>
      </c>
      <c r="AC100" s="76">
        <f t="shared" si="25"/>
        <v>820774</v>
      </c>
      <c r="AD100" s="76">
        <f t="shared" si="25"/>
        <v>669099</v>
      </c>
      <c r="AE100" s="76">
        <f t="shared" si="25"/>
        <v>470415</v>
      </c>
      <c r="AF100" s="76">
        <f t="shared" si="25"/>
        <v>413408</v>
      </c>
      <c r="AG100" s="76">
        <f t="shared" si="25"/>
        <v>769212</v>
      </c>
    </row>
    <row r="101" spans="2:33" s="12" customFormat="1" ht="18" customHeight="1" x14ac:dyDescent="0.25">
      <c r="B101" s="46"/>
      <c r="C101" s="46"/>
      <c r="D101" s="46"/>
      <c r="E101" s="73" t="s">
        <v>200</v>
      </c>
      <c r="F101" s="78">
        <f>+F99+F100</f>
        <v>136869842.78549999</v>
      </c>
      <c r="G101" s="78">
        <f>+G99+G100</f>
        <v>2493519681.2922001</v>
      </c>
      <c r="H101" s="78">
        <f t="shared" ref="H101:Y101" si="26">+H99+H100</f>
        <v>104518789.0362</v>
      </c>
      <c r="I101" s="78">
        <f t="shared" si="26"/>
        <v>0</v>
      </c>
      <c r="J101" s="78">
        <f t="shared" si="26"/>
        <v>0</v>
      </c>
      <c r="K101" s="78">
        <f t="shared" si="26"/>
        <v>0</v>
      </c>
      <c r="L101" s="78">
        <f t="shared" si="26"/>
        <v>18174987.899196479</v>
      </c>
      <c r="M101" s="78">
        <f>+M99+M100</f>
        <v>6058329.2997321598</v>
      </c>
      <c r="N101" s="78">
        <f t="shared" si="26"/>
        <v>0</v>
      </c>
      <c r="O101" s="78">
        <f t="shared" si="26"/>
        <v>0</v>
      </c>
      <c r="P101" s="78">
        <f t="shared" si="26"/>
        <v>26742475.987913664</v>
      </c>
      <c r="Q101" s="78">
        <f t="shared" si="26"/>
        <v>21393980.790330928</v>
      </c>
      <c r="R101" s="78">
        <f t="shared" si="26"/>
        <v>0</v>
      </c>
      <c r="S101" s="78">
        <f t="shared" si="26"/>
        <v>0</v>
      </c>
      <c r="T101" s="78">
        <f t="shared" si="26"/>
        <v>0</v>
      </c>
      <c r="U101" s="78">
        <f t="shared" si="26"/>
        <v>5951979.4349092003</v>
      </c>
      <c r="V101" s="78">
        <f t="shared" si="26"/>
        <v>11687523.254003521</v>
      </c>
      <c r="W101" s="78">
        <f t="shared" si="26"/>
        <v>3895841.0846678405</v>
      </c>
      <c r="X101" s="78">
        <f t="shared" si="26"/>
        <v>3565663.4650551542</v>
      </c>
      <c r="Y101" s="78">
        <f t="shared" si="26"/>
        <v>5942772.4417585908</v>
      </c>
      <c r="Z101" s="78">
        <f>+Z99+Z100</f>
        <v>0</v>
      </c>
      <c r="AA101" s="11"/>
      <c r="AB101" s="77">
        <f>+AB99+AB100</f>
        <v>11863795</v>
      </c>
      <c r="AC101" s="77">
        <f t="shared" ref="AC101:AG101" si="27">+AC99+AC100</f>
        <v>5140639</v>
      </c>
      <c r="AD101" s="77">
        <f t="shared" si="27"/>
        <v>4190673</v>
      </c>
      <c r="AE101" s="77">
        <f t="shared" si="27"/>
        <v>2946283</v>
      </c>
      <c r="AF101" s="77">
        <f t="shared" si="27"/>
        <v>2589238</v>
      </c>
      <c r="AG101" s="77">
        <f t="shared" si="27"/>
        <v>4817698</v>
      </c>
    </row>
    <row r="102" spans="2:33" ht="17.25" customHeight="1" x14ac:dyDescent="0.25">
      <c r="D102" s="13"/>
      <c r="E102" s="14"/>
      <c r="F102" s="15"/>
      <c r="G102" s="16"/>
      <c r="H102" s="16"/>
      <c r="I102" s="16"/>
      <c r="J102" s="16"/>
      <c r="K102" s="16"/>
      <c r="L102" s="16"/>
      <c r="M102" s="16"/>
      <c r="O102" s="17"/>
      <c r="W102" s="18"/>
      <c r="Y102" s="71"/>
      <c r="Z102" s="72"/>
      <c r="AA102" s="19"/>
      <c r="AB102" s="71"/>
      <c r="AC102" s="72"/>
    </row>
    <row r="103" spans="2:33" ht="31.5" x14ac:dyDescent="0.25">
      <c r="C103" s="79" t="s">
        <v>108</v>
      </c>
      <c r="D103" s="79" t="s">
        <v>109</v>
      </c>
    </row>
    <row r="104" spans="2:33" ht="22.5" customHeight="1" x14ac:dyDescent="0.25">
      <c r="C104" s="63">
        <f>+AA11+AA17+AA32+AA48+AA56+AA85</f>
        <v>2838321866.7714677</v>
      </c>
      <c r="D104" s="63">
        <f>SUM(AB101:AG101)</f>
        <v>31548326</v>
      </c>
    </row>
    <row r="105" spans="2:33" ht="27" customHeight="1" x14ac:dyDescent="0.25"/>
    <row r="106" spans="2:33" ht="50.25" customHeight="1" x14ac:dyDescent="0.25">
      <c r="C106" s="80" t="s">
        <v>0</v>
      </c>
      <c r="D106" s="80" t="s">
        <v>110</v>
      </c>
      <c r="E106" s="80" t="s">
        <v>111</v>
      </c>
      <c r="F106" s="80" t="s">
        <v>203</v>
      </c>
      <c r="G106" s="80" t="s">
        <v>112</v>
      </c>
      <c r="K106" s="20"/>
      <c r="L106" s="20"/>
      <c r="Y106" s="7"/>
    </row>
    <row r="107" spans="2:33" ht="20.25" customHeight="1" x14ac:dyDescent="0.25">
      <c r="C107" s="59" t="s">
        <v>113</v>
      </c>
      <c r="D107" s="60">
        <f>+AA11*1</f>
        <v>257397008.26725519</v>
      </c>
      <c r="E107" s="60">
        <f>+((AB12*AB97)+(AC12*AC97)+(AD12*AD97)+(AE12*AE97)+(AF12*AF97)+(AG12*AG97))*1</f>
        <v>2617733.4400000004</v>
      </c>
      <c r="F107" s="61">
        <f>+E107*0.052</f>
        <v>136122.13888000001</v>
      </c>
      <c r="G107" s="60">
        <f t="shared" ref="G107:G113" si="28">SUM(D107:F107)</f>
        <v>260150863.8461352</v>
      </c>
      <c r="K107" s="21"/>
      <c r="L107" s="20"/>
      <c r="Y107" s="7"/>
    </row>
    <row r="108" spans="2:33" ht="20.25" customHeight="1" x14ac:dyDescent="0.25">
      <c r="C108" s="59" t="s">
        <v>42</v>
      </c>
      <c r="D108" s="60">
        <f>+AA17*1</f>
        <v>313770934.78133035</v>
      </c>
      <c r="E108" s="60">
        <f>+((AB18*AB97)+(AC18*AC97)+(AD18*AD97)+(AE18*AE97)+(AF18*AF97)+(AG18*AG97))*1</f>
        <v>4847067.54</v>
      </c>
      <c r="F108" s="61">
        <f t="shared" ref="F108:F112" si="29">+E108*0.052</f>
        <v>252047.51207999999</v>
      </c>
      <c r="G108" s="60">
        <f t="shared" si="28"/>
        <v>318870049.83341038</v>
      </c>
      <c r="K108" s="21"/>
      <c r="L108" s="20"/>
      <c r="Y108" s="7"/>
    </row>
    <row r="109" spans="2:33" ht="20.25" customHeight="1" x14ac:dyDescent="0.25">
      <c r="C109" s="59" t="s">
        <v>50</v>
      </c>
      <c r="D109" s="60">
        <f>+AA32*1</f>
        <v>389822141.43716723</v>
      </c>
      <c r="E109" s="60">
        <f>+((AB33*AB97)+(AC33*AC97)+(AD33*AD97)+(AE33*AE97)+(AF33*AF97)+(AG33*AG97))*1</f>
        <v>4207146.2300000004</v>
      </c>
      <c r="F109" s="61">
        <f t="shared" si="29"/>
        <v>218771.60396000001</v>
      </c>
      <c r="G109" s="60">
        <f t="shared" si="28"/>
        <v>394248059.27112722</v>
      </c>
      <c r="K109" s="21"/>
      <c r="L109" s="20"/>
      <c r="Y109" s="7"/>
    </row>
    <row r="110" spans="2:33" ht="20.25" customHeight="1" x14ac:dyDescent="0.25">
      <c r="C110" s="59" t="s">
        <v>114</v>
      </c>
      <c r="D110" s="60">
        <f>+AA48*1</f>
        <v>436200612.09216368</v>
      </c>
      <c r="E110" s="60">
        <f>+((AB49*AB97)+(AC49*AC97)+(AD49*AD97)+(AE49*AE97)+(AF49*AF97)+(AG49*AG97))*1</f>
        <v>3706635.8</v>
      </c>
      <c r="F110" s="61">
        <f t="shared" si="29"/>
        <v>192745.06159999999</v>
      </c>
      <c r="G110" s="60">
        <f t="shared" si="28"/>
        <v>440099992.95376372</v>
      </c>
      <c r="K110" s="21"/>
      <c r="L110" s="20"/>
      <c r="Y110" s="7"/>
    </row>
    <row r="111" spans="2:33" ht="20.25" customHeight="1" x14ac:dyDescent="0.25">
      <c r="C111" s="59" t="s">
        <v>75</v>
      </c>
      <c r="D111" s="60">
        <f>+AA56*1</f>
        <v>412058059.23083788</v>
      </c>
      <c r="E111" s="60">
        <f>+((AB57*AB97)+(AC57*AC97)+(AD57*AD97)+(AE57*AE97)+(AF57*AF97)+(AG57*AG97))*1</f>
        <v>3102263.3600000003</v>
      </c>
      <c r="F111" s="61">
        <f t="shared" si="29"/>
        <v>161317.69472</v>
      </c>
      <c r="G111" s="60">
        <f t="shared" si="28"/>
        <v>415321640.28555787</v>
      </c>
      <c r="K111" s="21"/>
      <c r="L111" s="20"/>
      <c r="Y111" s="7"/>
    </row>
    <row r="112" spans="2:33" ht="20.25" customHeight="1" x14ac:dyDescent="0.25">
      <c r="C112" s="59" t="s">
        <v>78</v>
      </c>
      <c r="D112" s="60">
        <f>+AA85*1</f>
        <v>1029073110.9627131</v>
      </c>
      <c r="E112" s="60">
        <f>+((AB86*AB97)+(AC86*AC97)+(AD86*AD97)+(AE86*AE97)+(AF86*AF97)+(AG86*AG97))*1</f>
        <v>13067480.440000001</v>
      </c>
      <c r="F112" s="61">
        <f t="shared" si="29"/>
        <v>679508.98288000003</v>
      </c>
      <c r="G112" s="60">
        <f t="shared" si="28"/>
        <v>1042820100.3855932</v>
      </c>
      <c r="K112" s="21"/>
      <c r="L112" s="20"/>
      <c r="Y112" s="7"/>
    </row>
    <row r="113" spans="3:25" ht="20.25" customHeight="1" x14ac:dyDescent="0.25">
      <c r="C113" s="64" t="s">
        <v>115</v>
      </c>
      <c r="D113" s="62">
        <f>SUM(D107:D112)</f>
        <v>2838321866.7714677</v>
      </c>
      <c r="E113" s="62">
        <f>SUM(E107:E112)</f>
        <v>31548326.810000002</v>
      </c>
      <c r="F113" s="62">
        <f>SUM(F107:F112)</f>
        <v>1640512.9941199999</v>
      </c>
      <c r="G113" s="62">
        <f t="shared" si="28"/>
        <v>2871510706.5755877</v>
      </c>
      <c r="K113" s="20"/>
      <c r="L113" s="20"/>
      <c r="Y113" s="7"/>
    </row>
  </sheetData>
  <mergeCells count="6">
    <mergeCell ref="B86:E86"/>
    <mergeCell ref="B12:E12"/>
    <mergeCell ref="B18:E18"/>
    <mergeCell ref="B33:E33"/>
    <mergeCell ref="B49:E49"/>
    <mergeCell ref="B57:E57"/>
  </mergeCells>
  <pageMargins left="0.27559055118110237" right="0.31496062992125984" top="0.74803149606299213" bottom="0.74803149606299213" header="0.31496062992125984" footer="0.31496062992125984"/>
  <pageSetup paperSize="14" scale="50" orientation="landscape" r:id="rId1"/>
  <ignoredErrors>
    <ignoredError sqref="V91:Z91 G91:U91 G100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H123"/>
  <sheetViews>
    <sheetView showGridLines="0" zoomScale="90" zoomScaleNormal="90" workbookViewId="0">
      <pane xSplit="5" ySplit="1" topLeftCell="W77" activePane="bottomRight" state="frozen"/>
      <selection pane="topRight" activeCell="F1" sqref="F1"/>
      <selection pane="bottomLeft" activeCell="A2" sqref="A2"/>
      <selection pane="bottomRight" activeCell="AA84" sqref="AA84"/>
    </sheetView>
  </sheetViews>
  <sheetFormatPr baseColWidth="10" defaultColWidth="9.140625" defaultRowHeight="12.75" x14ac:dyDescent="0.25"/>
  <cols>
    <col min="1" max="1" width="2.5703125" style="7" customWidth="1"/>
    <col min="2" max="2" width="18.28515625" style="12" customWidth="1"/>
    <col min="3" max="3" width="34" style="8" customWidth="1"/>
    <col min="4" max="4" width="29.85546875" style="8" customWidth="1"/>
    <col min="5" max="5" width="21.85546875" style="8" customWidth="1"/>
    <col min="6" max="6" width="19.85546875" style="9" customWidth="1"/>
    <col min="7" max="7" width="24.7109375" style="9" customWidth="1"/>
    <col min="8" max="8" width="19.7109375" style="9" customWidth="1"/>
    <col min="9" max="9" width="17.140625" style="9" hidden="1" customWidth="1"/>
    <col min="10" max="10" width="20.42578125" style="9" hidden="1" customWidth="1"/>
    <col min="11" max="11" width="21.42578125" style="9" hidden="1" customWidth="1"/>
    <col min="12" max="12" width="20.28515625" style="9" customWidth="1"/>
    <col min="13" max="13" width="17.42578125" style="9" customWidth="1"/>
    <col min="14" max="14" width="13.7109375" style="9" hidden="1" customWidth="1"/>
    <col min="15" max="15" width="19.140625" style="9" customWidth="1"/>
    <col min="16" max="16" width="19" style="9" customWidth="1"/>
    <col min="17" max="17" width="17.42578125" style="9" customWidth="1"/>
    <col min="18" max="18" width="17.5703125" style="9" hidden="1" customWidth="1"/>
    <col min="19" max="19" width="18" style="9" hidden="1" customWidth="1"/>
    <col min="20" max="20" width="17.28515625" style="9" hidden="1" customWidth="1"/>
    <col min="21" max="21" width="18.5703125" style="9" customWidth="1"/>
    <col min="22" max="22" width="21.140625" style="9" customWidth="1"/>
    <col min="23" max="23" width="17.140625" style="9" customWidth="1"/>
    <col min="24" max="24" width="18.85546875" style="9" customWidth="1"/>
    <col min="25" max="25" width="18.42578125" style="9" customWidth="1"/>
    <col min="26" max="26" width="19.5703125" style="7" customWidth="1"/>
    <col min="27" max="27" width="25.85546875" style="7" customWidth="1"/>
    <col min="28" max="28" width="22.5703125" style="7" customWidth="1"/>
    <col min="29" max="30" width="15.85546875" style="7" customWidth="1"/>
    <col min="31" max="31" width="19.42578125" style="7" customWidth="1"/>
    <col min="32" max="33" width="15.85546875" style="7" customWidth="1"/>
    <col min="34" max="16384" width="9.140625" style="7"/>
  </cols>
  <sheetData>
    <row r="1" spans="2:33" s="1" customFormat="1" ht="99.75" customHeight="1" x14ac:dyDescent="0.25">
      <c r="B1" s="81" t="s">
        <v>0</v>
      </c>
      <c r="C1" s="81" t="s">
        <v>1</v>
      </c>
      <c r="D1" s="81" t="s">
        <v>2</v>
      </c>
      <c r="E1" s="81" t="s">
        <v>3</v>
      </c>
      <c r="F1" s="82" t="s">
        <v>4</v>
      </c>
      <c r="G1" s="82" t="s">
        <v>5</v>
      </c>
      <c r="H1" s="82" t="s">
        <v>6</v>
      </c>
      <c r="I1" s="82" t="s">
        <v>7</v>
      </c>
      <c r="J1" s="82" t="s">
        <v>8</v>
      </c>
      <c r="K1" s="82" t="s">
        <v>9</v>
      </c>
      <c r="L1" s="82" t="s">
        <v>10</v>
      </c>
      <c r="M1" s="82" t="s">
        <v>11</v>
      </c>
      <c r="N1" s="82" t="s">
        <v>12</v>
      </c>
      <c r="O1" s="82" t="s">
        <v>13</v>
      </c>
      <c r="P1" s="82" t="s">
        <v>14</v>
      </c>
      <c r="Q1" s="82" t="s">
        <v>15</v>
      </c>
      <c r="R1" s="82" t="s">
        <v>16</v>
      </c>
      <c r="S1" s="82" t="s">
        <v>17</v>
      </c>
      <c r="T1" s="81" t="s">
        <v>18</v>
      </c>
      <c r="U1" s="82" t="s">
        <v>19</v>
      </c>
      <c r="V1" s="82" t="s">
        <v>20</v>
      </c>
      <c r="W1" s="83" t="s">
        <v>21</v>
      </c>
      <c r="X1" s="82" t="s">
        <v>22</v>
      </c>
      <c r="Y1" s="82" t="s">
        <v>23</v>
      </c>
      <c r="Z1" s="82" t="s">
        <v>24</v>
      </c>
      <c r="AA1" s="84" t="s">
        <v>25</v>
      </c>
      <c r="AB1" s="82" t="s">
        <v>26</v>
      </c>
      <c r="AC1" s="82" t="s">
        <v>27</v>
      </c>
      <c r="AD1" s="82" t="s">
        <v>28</v>
      </c>
      <c r="AE1" s="82" t="s">
        <v>29</v>
      </c>
      <c r="AF1" s="82" t="s">
        <v>30</v>
      </c>
      <c r="AG1" s="82" t="s">
        <v>31</v>
      </c>
    </row>
    <row r="2" spans="2:33" s="2" customFormat="1" ht="49.5" customHeight="1" x14ac:dyDescent="0.25">
      <c r="B2" s="30" t="s">
        <v>32</v>
      </c>
      <c r="C2" s="27" t="s">
        <v>33</v>
      </c>
      <c r="D2" s="27" t="s">
        <v>151</v>
      </c>
      <c r="E2" s="27" t="s">
        <v>35</v>
      </c>
      <c r="F2" s="28">
        <v>0</v>
      </c>
      <c r="G2" s="31">
        <v>1</v>
      </c>
      <c r="H2" s="28">
        <v>0</v>
      </c>
      <c r="I2" s="28">
        <v>0</v>
      </c>
      <c r="J2" s="28">
        <v>0</v>
      </c>
      <c r="K2" s="28">
        <v>0</v>
      </c>
      <c r="L2" s="28">
        <v>0</v>
      </c>
      <c r="M2" s="28">
        <v>0</v>
      </c>
      <c r="N2" s="28">
        <v>0</v>
      </c>
      <c r="O2" s="28">
        <v>0</v>
      </c>
      <c r="P2" s="28">
        <v>0</v>
      </c>
      <c r="Q2" s="28">
        <v>0</v>
      </c>
      <c r="R2" s="28">
        <v>0</v>
      </c>
      <c r="S2" s="28">
        <v>0</v>
      </c>
      <c r="T2" s="28">
        <v>0</v>
      </c>
      <c r="U2" s="28">
        <v>0</v>
      </c>
      <c r="V2" s="28">
        <v>0</v>
      </c>
      <c r="W2" s="28">
        <v>0</v>
      </c>
      <c r="X2" s="28">
        <v>0</v>
      </c>
      <c r="Y2" s="28">
        <v>0</v>
      </c>
      <c r="Z2" s="28">
        <v>0</v>
      </c>
      <c r="AB2" s="35">
        <v>19</v>
      </c>
      <c r="AC2" s="35">
        <v>2</v>
      </c>
      <c r="AD2" s="35">
        <v>1</v>
      </c>
      <c r="AE2" s="35">
        <v>1</v>
      </c>
      <c r="AF2" s="35">
        <v>1</v>
      </c>
      <c r="AG2" s="35">
        <v>2</v>
      </c>
    </row>
    <row r="3" spans="2:33" s="2" customFormat="1" ht="48" customHeight="1" x14ac:dyDescent="0.25">
      <c r="B3" s="29" t="s">
        <v>32</v>
      </c>
      <c r="C3" s="27" t="s">
        <v>34</v>
      </c>
      <c r="D3" s="27" t="s">
        <v>151</v>
      </c>
      <c r="E3" s="27" t="s">
        <v>35</v>
      </c>
      <c r="F3" s="28">
        <v>0</v>
      </c>
      <c r="G3" s="31">
        <v>3</v>
      </c>
      <c r="H3" s="28">
        <v>0</v>
      </c>
      <c r="I3" s="28">
        <v>0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0</v>
      </c>
      <c r="R3" s="28">
        <v>0</v>
      </c>
      <c r="S3" s="28">
        <v>0</v>
      </c>
      <c r="T3" s="28">
        <v>0</v>
      </c>
      <c r="U3" s="28">
        <v>0</v>
      </c>
      <c r="V3" s="28">
        <v>0</v>
      </c>
      <c r="W3" s="28">
        <v>0</v>
      </c>
      <c r="X3" s="28">
        <v>0</v>
      </c>
      <c r="Y3" s="28">
        <v>0</v>
      </c>
      <c r="Z3" s="28">
        <v>0</v>
      </c>
      <c r="AB3" s="32">
        <v>0</v>
      </c>
      <c r="AC3" s="32">
        <v>0</v>
      </c>
      <c r="AD3" s="32">
        <v>0</v>
      </c>
      <c r="AE3" s="32">
        <v>0</v>
      </c>
      <c r="AF3" s="32">
        <v>0</v>
      </c>
      <c r="AG3" s="32">
        <v>0</v>
      </c>
    </row>
    <row r="4" spans="2:33" s="2" customFormat="1" ht="48" customHeight="1" x14ac:dyDescent="0.25">
      <c r="B4" s="29" t="s">
        <v>32</v>
      </c>
      <c r="C4" s="27" t="s">
        <v>34</v>
      </c>
      <c r="D4" s="27" t="s">
        <v>150</v>
      </c>
      <c r="E4" s="27" t="s">
        <v>35</v>
      </c>
      <c r="F4" s="28">
        <v>0</v>
      </c>
      <c r="G4" s="31">
        <v>2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B4" s="32">
        <v>15</v>
      </c>
      <c r="AC4" s="32">
        <v>0</v>
      </c>
      <c r="AD4" s="35">
        <v>1</v>
      </c>
      <c r="AE4" s="35">
        <v>1</v>
      </c>
      <c r="AF4" s="32">
        <v>0</v>
      </c>
      <c r="AG4" s="35">
        <v>1</v>
      </c>
    </row>
    <row r="5" spans="2:33" s="2" customFormat="1" ht="49.5" customHeight="1" x14ac:dyDescent="0.25">
      <c r="B5" s="29" t="s">
        <v>32</v>
      </c>
      <c r="C5" s="27" t="s">
        <v>34</v>
      </c>
      <c r="D5" s="27" t="s">
        <v>178</v>
      </c>
      <c r="E5" s="27" t="s">
        <v>35</v>
      </c>
      <c r="F5" s="28">
        <v>0</v>
      </c>
      <c r="G5" s="31">
        <v>1</v>
      </c>
      <c r="H5" s="28">
        <v>0</v>
      </c>
      <c r="I5" s="28">
        <v>0</v>
      </c>
      <c r="J5" s="28">
        <v>0</v>
      </c>
      <c r="K5" s="28">
        <v>0</v>
      </c>
      <c r="L5" s="28">
        <v>0</v>
      </c>
      <c r="M5" s="28">
        <v>0</v>
      </c>
      <c r="N5" s="28">
        <v>0</v>
      </c>
      <c r="O5" s="28">
        <v>0</v>
      </c>
      <c r="P5" s="28">
        <v>0</v>
      </c>
      <c r="Q5" s="28">
        <v>0</v>
      </c>
      <c r="R5" s="28">
        <v>0</v>
      </c>
      <c r="S5" s="28">
        <v>0</v>
      </c>
      <c r="T5" s="28">
        <v>0</v>
      </c>
      <c r="U5" s="28">
        <v>0</v>
      </c>
      <c r="V5" s="28">
        <v>0</v>
      </c>
      <c r="W5" s="28">
        <v>0</v>
      </c>
      <c r="X5" s="28">
        <v>0</v>
      </c>
      <c r="Y5" s="28">
        <v>0</v>
      </c>
      <c r="Z5" s="28">
        <v>0</v>
      </c>
      <c r="AB5" s="32">
        <v>7</v>
      </c>
      <c r="AC5" s="32">
        <v>0</v>
      </c>
      <c r="AD5" s="35">
        <v>1</v>
      </c>
      <c r="AE5" s="35">
        <v>1</v>
      </c>
      <c r="AF5" s="32">
        <v>0</v>
      </c>
      <c r="AG5" s="35">
        <v>1</v>
      </c>
    </row>
    <row r="6" spans="2:33" s="2" customFormat="1" ht="49.5" customHeight="1" x14ac:dyDescent="0.25">
      <c r="B6" s="29" t="s">
        <v>32</v>
      </c>
      <c r="C6" s="27" t="s">
        <v>34</v>
      </c>
      <c r="D6" s="27" t="s">
        <v>144</v>
      </c>
      <c r="E6" s="27" t="s">
        <v>36</v>
      </c>
      <c r="F6" s="28">
        <v>0</v>
      </c>
      <c r="G6" s="31">
        <v>2</v>
      </c>
      <c r="H6" s="28">
        <v>0</v>
      </c>
      <c r="I6" s="28">
        <v>0</v>
      </c>
      <c r="J6" s="28">
        <v>0</v>
      </c>
      <c r="K6" s="28">
        <v>0</v>
      </c>
      <c r="L6" s="28">
        <v>0</v>
      </c>
      <c r="M6" s="28">
        <v>0</v>
      </c>
      <c r="N6" s="28">
        <v>0</v>
      </c>
      <c r="O6" s="28">
        <v>0</v>
      </c>
      <c r="P6" s="28">
        <v>0</v>
      </c>
      <c r="Q6" s="28">
        <v>0</v>
      </c>
      <c r="R6" s="28">
        <v>0</v>
      </c>
      <c r="S6" s="28">
        <v>0</v>
      </c>
      <c r="T6" s="28">
        <v>0</v>
      </c>
      <c r="U6" s="28">
        <v>0</v>
      </c>
      <c r="V6" s="28">
        <v>0</v>
      </c>
      <c r="W6" s="28">
        <v>0</v>
      </c>
      <c r="X6" s="31">
        <v>1</v>
      </c>
      <c r="Y6" s="28">
        <v>0</v>
      </c>
      <c r="Z6" s="28">
        <v>0</v>
      </c>
      <c r="AB6" s="32">
        <v>11</v>
      </c>
      <c r="AC6" s="32">
        <v>0</v>
      </c>
      <c r="AD6" s="35">
        <v>1</v>
      </c>
      <c r="AE6" s="35">
        <v>1</v>
      </c>
      <c r="AF6" s="32">
        <v>0</v>
      </c>
      <c r="AG6" s="35">
        <v>1</v>
      </c>
    </row>
    <row r="7" spans="2:33" s="2" customFormat="1" ht="48" customHeight="1" x14ac:dyDescent="0.25">
      <c r="B7" s="29" t="s">
        <v>32</v>
      </c>
      <c r="C7" s="27" t="s">
        <v>34</v>
      </c>
      <c r="D7" s="27" t="s">
        <v>145</v>
      </c>
      <c r="E7" s="27" t="s">
        <v>36</v>
      </c>
      <c r="F7" s="28">
        <v>0</v>
      </c>
      <c r="G7" s="31">
        <v>1</v>
      </c>
      <c r="H7" s="28">
        <v>0</v>
      </c>
      <c r="I7" s="28"/>
      <c r="J7" s="28"/>
      <c r="K7" s="28"/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B7" s="32">
        <v>0</v>
      </c>
      <c r="AC7" s="32">
        <v>0</v>
      </c>
      <c r="AD7" s="32">
        <v>0</v>
      </c>
      <c r="AE7" s="32">
        <v>0</v>
      </c>
      <c r="AF7" s="32">
        <v>0</v>
      </c>
      <c r="AG7" s="32">
        <v>0</v>
      </c>
    </row>
    <row r="8" spans="2:33" s="2" customFormat="1" ht="48" customHeight="1" x14ac:dyDescent="0.25">
      <c r="B8" s="29" t="s">
        <v>32</v>
      </c>
      <c r="C8" s="27" t="s">
        <v>34</v>
      </c>
      <c r="D8" s="27" t="s">
        <v>179</v>
      </c>
      <c r="E8" s="27" t="s">
        <v>37</v>
      </c>
      <c r="F8" s="28">
        <v>0</v>
      </c>
      <c r="G8" s="31">
        <v>2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0</v>
      </c>
      <c r="W8" s="28">
        <v>0</v>
      </c>
      <c r="X8" s="28">
        <v>0</v>
      </c>
      <c r="Y8" s="28">
        <v>0</v>
      </c>
      <c r="Z8" s="28">
        <v>0</v>
      </c>
      <c r="AB8" s="35">
        <v>16</v>
      </c>
      <c r="AC8" s="32">
        <v>0</v>
      </c>
      <c r="AD8" s="35">
        <v>1</v>
      </c>
      <c r="AE8" s="35">
        <v>1</v>
      </c>
      <c r="AF8" s="32">
        <v>0</v>
      </c>
      <c r="AG8" s="35">
        <v>3</v>
      </c>
    </row>
    <row r="9" spans="2:33" s="2" customFormat="1" ht="48" customHeight="1" x14ac:dyDescent="0.25">
      <c r="B9" s="29" t="s">
        <v>32</v>
      </c>
      <c r="C9" s="27" t="s">
        <v>34</v>
      </c>
      <c r="D9" s="27" t="s">
        <v>38</v>
      </c>
      <c r="E9" s="27" t="s">
        <v>37</v>
      </c>
      <c r="F9" s="28">
        <v>0</v>
      </c>
      <c r="G9" s="31">
        <v>2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58">
        <f>+AA11*1</f>
        <v>257397008.26725519</v>
      </c>
      <c r="AB9" s="32">
        <v>0</v>
      </c>
      <c r="AC9" s="32">
        <v>0</v>
      </c>
      <c r="AD9" s="32">
        <v>0</v>
      </c>
      <c r="AE9" s="32">
        <v>0</v>
      </c>
      <c r="AF9" s="32">
        <v>0</v>
      </c>
      <c r="AG9" s="32">
        <v>0</v>
      </c>
    </row>
    <row r="10" spans="2:33" s="2" customFormat="1" ht="48" customHeight="1" x14ac:dyDescent="0.25">
      <c r="B10" s="29" t="s">
        <v>32</v>
      </c>
      <c r="C10" s="27" t="s">
        <v>34</v>
      </c>
      <c r="D10" s="27" t="s">
        <v>39</v>
      </c>
      <c r="E10" s="27" t="s">
        <v>40</v>
      </c>
      <c r="F10" s="28">
        <v>0</v>
      </c>
      <c r="G10" s="31">
        <v>1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B10" s="32">
        <v>0</v>
      </c>
      <c r="AC10" s="32">
        <v>0</v>
      </c>
      <c r="AD10" s="32">
        <v>0</v>
      </c>
      <c r="AE10" s="32">
        <v>0</v>
      </c>
      <c r="AF10" s="32">
        <v>0</v>
      </c>
      <c r="AG10" s="32">
        <v>0</v>
      </c>
    </row>
    <row r="11" spans="2:33" s="2" customFormat="1" ht="48" customHeight="1" x14ac:dyDescent="0.25">
      <c r="B11" s="29" t="s">
        <v>32</v>
      </c>
      <c r="C11" s="27" t="s">
        <v>34</v>
      </c>
      <c r="D11" s="27" t="s">
        <v>180</v>
      </c>
      <c r="E11" s="27" t="s">
        <v>40</v>
      </c>
      <c r="F11" s="28">
        <v>0</v>
      </c>
      <c r="G11" s="31">
        <v>2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58">
        <f>+(G12*G97)+(X12*X97)</f>
        <v>257397008.26725519</v>
      </c>
      <c r="AB11" s="35">
        <v>15</v>
      </c>
      <c r="AC11" s="32">
        <v>0</v>
      </c>
      <c r="AD11" s="35">
        <v>1</v>
      </c>
      <c r="AE11" s="35">
        <v>1</v>
      </c>
      <c r="AF11" s="32">
        <v>0</v>
      </c>
      <c r="AG11" s="35">
        <v>3</v>
      </c>
    </row>
    <row r="12" spans="2:33" s="53" customFormat="1" ht="19.5" customHeight="1" x14ac:dyDescent="0.25">
      <c r="B12" s="165" t="s">
        <v>41</v>
      </c>
      <c r="C12" s="165"/>
      <c r="D12" s="165"/>
      <c r="E12" s="165"/>
      <c r="F12" s="85">
        <f t="shared" ref="F12:Z12" si="0">SUM(F2:F11)</f>
        <v>0</v>
      </c>
      <c r="G12" s="85">
        <f t="shared" si="0"/>
        <v>17</v>
      </c>
      <c r="H12" s="85">
        <f t="shared" si="0"/>
        <v>0</v>
      </c>
      <c r="I12" s="85">
        <f t="shared" si="0"/>
        <v>0</v>
      </c>
      <c r="J12" s="85">
        <f t="shared" si="0"/>
        <v>0</v>
      </c>
      <c r="K12" s="85">
        <f t="shared" si="0"/>
        <v>0</v>
      </c>
      <c r="L12" s="85">
        <f t="shared" si="0"/>
        <v>0</v>
      </c>
      <c r="M12" s="85">
        <f t="shared" si="0"/>
        <v>0</v>
      </c>
      <c r="N12" s="85">
        <f t="shared" si="0"/>
        <v>0</v>
      </c>
      <c r="O12" s="85">
        <f t="shared" si="0"/>
        <v>0</v>
      </c>
      <c r="P12" s="85">
        <f t="shared" si="0"/>
        <v>0</v>
      </c>
      <c r="Q12" s="85">
        <f t="shared" si="0"/>
        <v>0</v>
      </c>
      <c r="R12" s="85">
        <f t="shared" si="0"/>
        <v>0</v>
      </c>
      <c r="S12" s="85">
        <f t="shared" si="0"/>
        <v>0</v>
      </c>
      <c r="T12" s="85">
        <f t="shared" si="0"/>
        <v>0</v>
      </c>
      <c r="U12" s="85">
        <f t="shared" si="0"/>
        <v>0</v>
      </c>
      <c r="V12" s="85">
        <f t="shared" si="0"/>
        <v>0</v>
      </c>
      <c r="W12" s="85">
        <f t="shared" si="0"/>
        <v>0</v>
      </c>
      <c r="X12" s="85">
        <f t="shared" si="0"/>
        <v>1</v>
      </c>
      <c r="Y12" s="85">
        <f t="shared" si="0"/>
        <v>0</v>
      </c>
      <c r="Z12" s="85">
        <f t="shared" si="0"/>
        <v>0</v>
      </c>
      <c r="AA12" s="86">
        <f>SUM(F12:Z12)</f>
        <v>18</v>
      </c>
      <c r="AB12" s="87">
        <f t="shared" ref="AB12:AG12" si="1">SUM(AB2:AB11)</f>
        <v>83</v>
      </c>
      <c r="AC12" s="87">
        <f t="shared" si="1"/>
        <v>2</v>
      </c>
      <c r="AD12" s="87">
        <f t="shared" si="1"/>
        <v>6</v>
      </c>
      <c r="AE12" s="87">
        <f t="shared" si="1"/>
        <v>6</v>
      </c>
      <c r="AF12" s="87">
        <f t="shared" si="1"/>
        <v>1</v>
      </c>
      <c r="AG12" s="87">
        <f t="shared" si="1"/>
        <v>11</v>
      </c>
    </row>
    <row r="13" spans="2:33" s="2" customFormat="1" ht="49.5" customHeight="1" x14ac:dyDescent="0.25">
      <c r="B13" s="30" t="s">
        <v>42</v>
      </c>
      <c r="C13" s="27" t="s">
        <v>43</v>
      </c>
      <c r="D13" s="27" t="s">
        <v>181</v>
      </c>
      <c r="E13" s="27" t="s">
        <v>45</v>
      </c>
      <c r="F13" s="28">
        <v>0</v>
      </c>
      <c r="G13" s="31">
        <v>1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32">
        <v>0</v>
      </c>
    </row>
    <row r="14" spans="2:33" s="2" customFormat="1" ht="48" customHeight="1" x14ac:dyDescent="0.25">
      <c r="B14" s="29" t="s">
        <v>42</v>
      </c>
      <c r="C14" s="27" t="s">
        <v>44</v>
      </c>
      <c r="D14" s="27" t="s">
        <v>181</v>
      </c>
      <c r="E14" s="27" t="s">
        <v>45</v>
      </c>
      <c r="F14" s="31">
        <v>1</v>
      </c>
      <c r="G14" s="31">
        <v>3</v>
      </c>
      <c r="H14" s="31">
        <v>1</v>
      </c>
      <c r="I14" s="28">
        <v>0</v>
      </c>
      <c r="J14" s="28">
        <v>0</v>
      </c>
      <c r="K14" s="28">
        <v>0</v>
      </c>
      <c r="L14" s="28">
        <v>0</v>
      </c>
      <c r="M14" s="31">
        <v>1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31">
        <v>1</v>
      </c>
      <c r="Z14" s="28">
        <v>0</v>
      </c>
      <c r="AB14" s="35">
        <v>58</v>
      </c>
      <c r="AC14" s="35">
        <v>2</v>
      </c>
      <c r="AD14" s="35">
        <v>2</v>
      </c>
      <c r="AE14" s="35">
        <v>2</v>
      </c>
      <c r="AF14" s="35">
        <v>1</v>
      </c>
      <c r="AG14" s="35">
        <v>5</v>
      </c>
    </row>
    <row r="15" spans="2:33" s="2" customFormat="1" ht="47.25" customHeight="1" x14ac:dyDescent="0.25">
      <c r="B15" s="29" t="s">
        <v>42</v>
      </c>
      <c r="C15" s="27" t="s">
        <v>46</v>
      </c>
      <c r="D15" s="27" t="s">
        <v>181</v>
      </c>
      <c r="E15" s="27" t="s">
        <v>45</v>
      </c>
      <c r="F15" s="31"/>
      <c r="G15" s="31">
        <v>2</v>
      </c>
      <c r="H15" s="31">
        <v>1</v>
      </c>
      <c r="I15" s="28"/>
      <c r="J15" s="28"/>
      <c r="K15" s="28"/>
      <c r="L15" s="28"/>
      <c r="M15" s="28"/>
      <c r="N15" s="28"/>
      <c r="O15" s="28"/>
      <c r="P15" s="28">
        <v>1</v>
      </c>
      <c r="Q15" s="28"/>
      <c r="R15" s="28"/>
      <c r="S15" s="28"/>
      <c r="T15" s="28"/>
      <c r="U15" s="28"/>
      <c r="V15" s="28"/>
      <c r="W15" s="28"/>
      <c r="X15" s="28"/>
      <c r="Y15" s="28"/>
      <c r="Z15" s="28"/>
      <c r="AB15" s="35">
        <v>5</v>
      </c>
      <c r="AC15" s="35">
        <v>40</v>
      </c>
      <c r="AD15" s="35">
        <v>2</v>
      </c>
      <c r="AE15" s="35">
        <v>2</v>
      </c>
      <c r="AF15" s="32">
        <v>1</v>
      </c>
      <c r="AG15" s="32"/>
    </row>
    <row r="16" spans="2:33" s="2" customFormat="1" ht="48" customHeight="1" x14ac:dyDescent="0.25">
      <c r="B16" s="29" t="s">
        <v>42</v>
      </c>
      <c r="C16" s="27" t="s">
        <v>44</v>
      </c>
      <c r="D16" s="27" t="s">
        <v>152</v>
      </c>
      <c r="E16" s="27" t="s">
        <v>47</v>
      </c>
      <c r="F16" s="31">
        <v>3</v>
      </c>
      <c r="G16" s="31">
        <v>4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58">
        <f>+AA17*1</f>
        <v>328702190.35793042</v>
      </c>
      <c r="AB16" s="35">
        <v>10</v>
      </c>
      <c r="AC16" s="32">
        <v>0</v>
      </c>
      <c r="AD16" s="35">
        <v>1</v>
      </c>
      <c r="AE16" s="35">
        <v>1</v>
      </c>
      <c r="AF16" s="32">
        <v>0</v>
      </c>
      <c r="AG16" s="35">
        <v>3</v>
      </c>
    </row>
    <row r="17" spans="2:34" s="2" customFormat="1" ht="48" customHeight="1" x14ac:dyDescent="0.25">
      <c r="B17" s="29" t="s">
        <v>42</v>
      </c>
      <c r="C17" s="27" t="s">
        <v>44</v>
      </c>
      <c r="D17" s="27" t="s">
        <v>146</v>
      </c>
      <c r="E17" s="27" t="s">
        <v>48</v>
      </c>
      <c r="F17" s="31">
        <v>2</v>
      </c>
      <c r="G17" s="31">
        <v>3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58">
        <f>+(F18*F97)+(G18*G97)+(H18*H97)+(M18*M97)+(P18*P97)+(Y18*Y97)</f>
        <v>328702190.35793042</v>
      </c>
      <c r="AB17" s="35">
        <v>10</v>
      </c>
      <c r="AC17" s="32">
        <v>0</v>
      </c>
      <c r="AD17" s="35">
        <v>1</v>
      </c>
      <c r="AE17" s="35">
        <v>1</v>
      </c>
      <c r="AF17" s="32">
        <v>0</v>
      </c>
      <c r="AG17" s="35">
        <v>3</v>
      </c>
    </row>
    <row r="18" spans="2:34" s="53" customFormat="1" ht="19.5" customHeight="1" x14ac:dyDescent="0.25">
      <c r="B18" s="165" t="s">
        <v>49</v>
      </c>
      <c r="C18" s="165"/>
      <c r="D18" s="165"/>
      <c r="E18" s="165"/>
      <c r="F18" s="85">
        <f t="shared" ref="F18:Z18" si="2">SUM(F13:F17)</f>
        <v>6</v>
      </c>
      <c r="G18" s="85">
        <f t="shared" si="2"/>
        <v>13</v>
      </c>
      <c r="H18" s="85">
        <f t="shared" si="2"/>
        <v>2</v>
      </c>
      <c r="I18" s="85">
        <f t="shared" si="2"/>
        <v>0</v>
      </c>
      <c r="J18" s="85">
        <f t="shared" si="2"/>
        <v>0</v>
      </c>
      <c r="K18" s="85">
        <f t="shared" si="2"/>
        <v>0</v>
      </c>
      <c r="L18" s="85">
        <f t="shared" si="2"/>
        <v>0</v>
      </c>
      <c r="M18" s="85">
        <f t="shared" si="2"/>
        <v>1</v>
      </c>
      <c r="N18" s="85">
        <f t="shared" si="2"/>
        <v>0</v>
      </c>
      <c r="O18" s="85">
        <f t="shared" si="2"/>
        <v>0</v>
      </c>
      <c r="P18" s="85">
        <f t="shared" si="2"/>
        <v>1</v>
      </c>
      <c r="Q18" s="85">
        <f t="shared" si="2"/>
        <v>0</v>
      </c>
      <c r="R18" s="85">
        <f t="shared" si="2"/>
        <v>0</v>
      </c>
      <c r="S18" s="85">
        <f t="shared" si="2"/>
        <v>0</v>
      </c>
      <c r="T18" s="85">
        <f t="shared" si="2"/>
        <v>0</v>
      </c>
      <c r="U18" s="85">
        <f t="shared" si="2"/>
        <v>0</v>
      </c>
      <c r="V18" s="85">
        <f t="shared" si="2"/>
        <v>0</v>
      </c>
      <c r="W18" s="85">
        <f t="shared" si="2"/>
        <v>0</v>
      </c>
      <c r="X18" s="85">
        <f t="shared" si="2"/>
        <v>0</v>
      </c>
      <c r="Y18" s="85">
        <f t="shared" si="2"/>
        <v>1</v>
      </c>
      <c r="Z18" s="85">
        <f t="shared" si="2"/>
        <v>0</v>
      </c>
      <c r="AA18" s="86">
        <f>SUM(F18:Z18)</f>
        <v>24</v>
      </c>
      <c r="AB18" s="87">
        <f>SUM(AB13:AB17)</f>
        <v>83</v>
      </c>
      <c r="AC18" s="87">
        <f t="shared" ref="AC18:AG18" si="3">SUM(AC13:AC17)</f>
        <v>42</v>
      </c>
      <c r="AD18" s="87">
        <f t="shared" si="3"/>
        <v>6</v>
      </c>
      <c r="AE18" s="87">
        <f t="shared" si="3"/>
        <v>6</v>
      </c>
      <c r="AF18" s="87">
        <f t="shared" si="3"/>
        <v>2</v>
      </c>
      <c r="AG18" s="87">
        <f t="shared" si="3"/>
        <v>11</v>
      </c>
    </row>
    <row r="19" spans="2:34" s="2" customFormat="1" ht="43.5" customHeight="1" x14ac:dyDescent="0.25">
      <c r="B19" s="30" t="s">
        <v>50</v>
      </c>
      <c r="C19" s="27" t="s">
        <v>33</v>
      </c>
      <c r="D19" s="27" t="s">
        <v>182</v>
      </c>
      <c r="E19" s="27" t="s">
        <v>52</v>
      </c>
      <c r="F19" s="28">
        <v>0</v>
      </c>
      <c r="G19" s="31">
        <v>1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B19" s="32">
        <v>0</v>
      </c>
      <c r="AC19" s="32">
        <v>0</v>
      </c>
      <c r="AD19" s="32">
        <v>0</v>
      </c>
      <c r="AE19" s="32">
        <v>0</v>
      </c>
      <c r="AF19" s="32">
        <v>0</v>
      </c>
      <c r="AG19" s="32">
        <v>0</v>
      </c>
    </row>
    <row r="20" spans="2:34" s="2" customFormat="1" ht="48" customHeight="1" x14ac:dyDescent="0.25">
      <c r="B20" s="29" t="s">
        <v>50</v>
      </c>
      <c r="C20" s="27" t="s">
        <v>195</v>
      </c>
      <c r="D20" s="27" t="s">
        <v>182</v>
      </c>
      <c r="E20" s="27" t="s">
        <v>52</v>
      </c>
      <c r="F20" s="28">
        <v>0</v>
      </c>
      <c r="G20" s="31">
        <v>4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31">
        <v>1</v>
      </c>
      <c r="R20" s="28">
        <v>0</v>
      </c>
      <c r="S20" s="28">
        <v>0</v>
      </c>
      <c r="T20" s="28">
        <v>0</v>
      </c>
      <c r="U20" s="28">
        <v>0</v>
      </c>
      <c r="V20" s="31">
        <v>1</v>
      </c>
      <c r="W20" s="28">
        <v>0</v>
      </c>
      <c r="X20" s="28">
        <v>0</v>
      </c>
      <c r="Y20" s="28">
        <v>0</v>
      </c>
      <c r="Z20" s="28">
        <v>0</v>
      </c>
      <c r="AB20" s="35">
        <v>18</v>
      </c>
      <c r="AC20" s="32">
        <v>0</v>
      </c>
      <c r="AD20" s="35">
        <v>2</v>
      </c>
      <c r="AE20" s="35">
        <v>2</v>
      </c>
      <c r="AF20" s="35">
        <v>1</v>
      </c>
      <c r="AG20" s="32">
        <v>0</v>
      </c>
    </row>
    <row r="21" spans="2:34" s="2" customFormat="1" ht="48" customHeight="1" x14ac:dyDescent="0.25">
      <c r="B21" s="29" t="s">
        <v>50</v>
      </c>
      <c r="C21" s="27" t="s">
        <v>195</v>
      </c>
      <c r="D21" s="27" t="s">
        <v>183</v>
      </c>
      <c r="E21" s="27" t="s">
        <v>121</v>
      </c>
      <c r="F21" s="28">
        <v>0</v>
      </c>
      <c r="G21" s="31">
        <v>1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B21" s="35">
        <v>8</v>
      </c>
      <c r="AC21" s="32">
        <v>0</v>
      </c>
      <c r="AD21" s="35">
        <v>1</v>
      </c>
      <c r="AE21" s="35">
        <v>1</v>
      </c>
      <c r="AF21" s="35">
        <v>1</v>
      </c>
      <c r="AG21" s="35">
        <v>1</v>
      </c>
    </row>
    <row r="22" spans="2:34" s="2" customFormat="1" ht="48" customHeight="1" x14ac:dyDescent="0.25">
      <c r="B22" s="29" t="s">
        <v>50</v>
      </c>
      <c r="C22" s="27" t="s">
        <v>195</v>
      </c>
      <c r="D22" s="27" t="s">
        <v>153</v>
      </c>
      <c r="E22" s="27" t="s">
        <v>123</v>
      </c>
      <c r="F22" s="28">
        <v>0</v>
      </c>
      <c r="G22" s="31">
        <v>1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B22" s="35">
        <v>8</v>
      </c>
      <c r="AC22" s="32">
        <v>0</v>
      </c>
      <c r="AD22" s="35">
        <v>1</v>
      </c>
      <c r="AE22" s="35">
        <v>1</v>
      </c>
      <c r="AF22" s="35">
        <v>1</v>
      </c>
      <c r="AG22" s="35">
        <v>1</v>
      </c>
    </row>
    <row r="23" spans="2:34" s="2" customFormat="1" ht="43.5" customHeight="1" x14ac:dyDescent="0.25">
      <c r="B23" s="30" t="s">
        <v>50</v>
      </c>
      <c r="C23" s="27" t="s">
        <v>51</v>
      </c>
      <c r="D23" s="27" t="s">
        <v>53</v>
      </c>
      <c r="E23" s="27" t="s">
        <v>52</v>
      </c>
      <c r="F23" s="28">
        <v>0</v>
      </c>
      <c r="G23" s="31">
        <v>3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/>
      <c r="N23" s="28">
        <v>0</v>
      </c>
      <c r="O23" s="28">
        <v>0</v>
      </c>
      <c r="P23" s="28">
        <v>0</v>
      </c>
      <c r="Q23" s="31">
        <v>1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B23" s="35">
        <v>22</v>
      </c>
      <c r="AC23" s="32">
        <v>0</v>
      </c>
      <c r="AD23" s="35">
        <v>2</v>
      </c>
      <c r="AE23" s="35">
        <v>2</v>
      </c>
      <c r="AF23" s="35">
        <v>1</v>
      </c>
      <c r="AG23" s="32">
        <v>0</v>
      </c>
    </row>
    <row r="24" spans="2:34" s="2" customFormat="1" ht="48" customHeight="1" x14ac:dyDescent="0.25">
      <c r="B24" s="29" t="s">
        <v>50</v>
      </c>
      <c r="C24" s="27" t="s">
        <v>54</v>
      </c>
      <c r="D24" s="27" t="s">
        <v>154</v>
      </c>
      <c r="E24" s="27" t="s">
        <v>121</v>
      </c>
      <c r="F24" s="28">
        <v>0</v>
      </c>
      <c r="G24" s="31">
        <v>3</v>
      </c>
      <c r="H24" s="28">
        <v>0</v>
      </c>
      <c r="I24" s="28">
        <v>0</v>
      </c>
      <c r="J24" s="28">
        <v>0</v>
      </c>
      <c r="K24" s="28">
        <v>0</v>
      </c>
      <c r="L24" s="31">
        <v>1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B24" s="35">
        <v>12</v>
      </c>
      <c r="AC24" s="32">
        <v>0</v>
      </c>
      <c r="AD24" s="35">
        <v>1</v>
      </c>
      <c r="AE24" s="35">
        <v>1</v>
      </c>
      <c r="AF24" s="32">
        <v>0</v>
      </c>
      <c r="AG24" s="32">
        <v>0</v>
      </c>
    </row>
    <row r="25" spans="2:34" s="2" customFormat="1" ht="48" customHeight="1" x14ac:dyDescent="0.25">
      <c r="B25" s="29" t="s">
        <v>50</v>
      </c>
      <c r="C25" s="27" t="s">
        <v>54</v>
      </c>
      <c r="D25" s="27" t="s">
        <v>147</v>
      </c>
      <c r="E25" s="27" t="s">
        <v>121</v>
      </c>
      <c r="F25" s="28">
        <v>0</v>
      </c>
      <c r="G25" s="31">
        <v>2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31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31">
        <v>1</v>
      </c>
      <c r="W25" s="28">
        <v>0</v>
      </c>
      <c r="X25" s="28">
        <v>0</v>
      </c>
      <c r="Y25" s="28">
        <v>0</v>
      </c>
      <c r="Z25" s="28">
        <v>0</v>
      </c>
      <c r="AB25" s="32">
        <v>0</v>
      </c>
      <c r="AC25" s="32">
        <v>0</v>
      </c>
      <c r="AD25" s="32">
        <v>0</v>
      </c>
      <c r="AE25" s="32">
        <v>0</v>
      </c>
      <c r="AF25" s="32">
        <v>0</v>
      </c>
      <c r="AG25" s="32">
        <v>0</v>
      </c>
    </row>
    <row r="26" spans="2:34" s="2" customFormat="1" ht="48" customHeight="1" x14ac:dyDescent="0.25">
      <c r="B26" s="29" t="s">
        <v>50</v>
      </c>
      <c r="C26" s="27" t="s">
        <v>54</v>
      </c>
      <c r="D26" s="27" t="s">
        <v>148</v>
      </c>
      <c r="E26" s="27" t="s">
        <v>124</v>
      </c>
      <c r="F26" s="28">
        <v>0</v>
      </c>
      <c r="G26" s="31">
        <v>1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B26" s="35">
        <v>6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</row>
    <row r="27" spans="2:34" s="2" customFormat="1" ht="49.5" customHeight="1" x14ac:dyDescent="0.25">
      <c r="B27" s="30" t="s">
        <v>50</v>
      </c>
      <c r="C27" s="27" t="s">
        <v>55</v>
      </c>
      <c r="D27" s="27" t="s">
        <v>184</v>
      </c>
      <c r="E27" s="27" t="s">
        <v>56</v>
      </c>
      <c r="F27" s="28">
        <v>0</v>
      </c>
      <c r="G27" s="31">
        <v>2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B27" s="35">
        <v>14</v>
      </c>
      <c r="AC27" s="32">
        <v>0</v>
      </c>
      <c r="AD27" s="35">
        <v>1</v>
      </c>
      <c r="AE27" s="35">
        <v>1</v>
      </c>
      <c r="AF27" s="32">
        <v>0</v>
      </c>
      <c r="AG27" s="35">
        <v>1</v>
      </c>
    </row>
    <row r="28" spans="2:34" s="2" customFormat="1" ht="49.5" customHeight="1" x14ac:dyDescent="0.25">
      <c r="B28" s="30" t="s">
        <v>50</v>
      </c>
      <c r="C28" s="27" t="s">
        <v>55</v>
      </c>
      <c r="D28" s="27" t="s">
        <v>185</v>
      </c>
      <c r="E28" s="27" t="s">
        <v>56</v>
      </c>
      <c r="F28" s="28">
        <v>0</v>
      </c>
      <c r="G28" s="31">
        <v>2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B28" s="35">
        <v>6</v>
      </c>
      <c r="AC28" s="35">
        <v>2</v>
      </c>
      <c r="AD28" s="35">
        <v>1</v>
      </c>
      <c r="AE28" s="35">
        <v>1</v>
      </c>
      <c r="AF28" s="32">
        <v>0</v>
      </c>
      <c r="AG28" s="35">
        <v>1</v>
      </c>
    </row>
    <row r="29" spans="2:34" s="2" customFormat="1" ht="49.5" customHeight="1" x14ac:dyDescent="0.25">
      <c r="B29" s="30" t="s">
        <v>50</v>
      </c>
      <c r="C29" s="27" t="s">
        <v>55</v>
      </c>
      <c r="D29" s="27" t="s">
        <v>186</v>
      </c>
      <c r="E29" s="27" t="s">
        <v>56</v>
      </c>
      <c r="F29" s="28">
        <v>0</v>
      </c>
      <c r="G29" s="31">
        <v>1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B29" s="35">
        <v>6</v>
      </c>
      <c r="AC29" s="35">
        <v>2</v>
      </c>
      <c r="AD29" s="35">
        <v>1</v>
      </c>
      <c r="AE29" s="35">
        <v>1</v>
      </c>
      <c r="AF29" s="32">
        <v>0</v>
      </c>
      <c r="AG29" s="35">
        <v>1</v>
      </c>
    </row>
    <row r="30" spans="2:34" s="2" customFormat="1" ht="49.5" customHeight="1" x14ac:dyDescent="0.25">
      <c r="B30" s="30" t="s">
        <v>50</v>
      </c>
      <c r="C30" s="27" t="s">
        <v>55</v>
      </c>
      <c r="D30" s="27" t="s">
        <v>171</v>
      </c>
      <c r="E30" s="27" t="s">
        <v>56</v>
      </c>
      <c r="F30" s="28">
        <v>0</v>
      </c>
      <c r="G30" s="31">
        <v>1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58">
        <f>+AA32*1</f>
        <v>389822141.43716723</v>
      </c>
      <c r="AB30" s="35">
        <v>4</v>
      </c>
      <c r="AC30" s="35">
        <v>2</v>
      </c>
      <c r="AD30" s="32">
        <v>0</v>
      </c>
      <c r="AE30" s="32">
        <v>0</v>
      </c>
      <c r="AF30" s="32">
        <v>0</v>
      </c>
      <c r="AG30" s="32">
        <v>0</v>
      </c>
      <c r="AH30" s="32"/>
    </row>
    <row r="31" spans="2:34" s="2" customFormat="1" ht="49.5" customHeight="1" x14ac:dyDescent="0.25">
      <c r="B31" s="30" t="s">
        <v>50</v>
      </c>
      <c r="C31" s="27" t="s">
        <v>57</v>
      </c>
      <c r="D31" s="27" t="s">
        <v>187</v>
      </c>
      <c r="E31" s="27" t="s">
        <v>125</v>
      </c>
      <c r="F31" s="28">
        <v>0</v>
      </c>
      <c r="G31" s="31">
        <v>1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58"/>
      <c r="AB31" s="35">
        <v>6</v>
      </c>
      <c r="AC31" s="32">
        <v>0</v>
      </c>
      <c r="AD31" s="35">
        <v>1</v>
      </c>
      <c r="AE31" s="35">
        <v>1</v>
      </c>
      <c r="AF31" s="32">
        <v>0</v>
      </c>
      <c r="AG31" s="35">
        <v>1</v>
      </c>
    </row>
    <row r="32" spans="2:34" s="2" customFormat="1" ht="49.5" customHeight="1" x14ac:dyDescent="0.25">
      <c r="B32" s="30" t="s">
        <v>50</v>
      </c>
      <c r="C32" s="27" t="s">
        <v>57</v>
      </c>
      <c r="D32" s="27" t="s">
        <v>149</v>
      </c>
      <c r="E32" s="27" t="s">
        <v>126</v>
      </c>
      <c r="F32" s="28">
        <v>0</v>
      </c>
      <c r="G32" s="31">
        <v>1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58">
        <f>+(G33*G97)+(L33*L97)+(O33*O97)+(Q33*Q97)+(V33*V97)</f>
        <v>389822141.43716723</v>
      </c>
      <c r="AB32" s="35">
        <v>6</v>
      </c>
      <c r="AC32" s="32">
        <v>0</v>
      </c>
      <c r="AD32" s="35">
        <v>1</v>
      </c>
      <c r="AE32" s="35">
        <v>1</v>
      </c>
      <c r="AF32" s="32">
        <v>0</v>
      </c>
      <c r="AG32" s="35">
        <v>1</v>
      </c>
    </row>
    <row r="33" spans="2:33" s="53" customFormat="1" ht="19.5" customHeight="1" x14ac:dyDescent="0.25">
      <c r="B33" s="165" t="s">
        <v>58</v>
      </c>
      <c r="C33" s="165"/>
      <c r="D33" s="165"/>
      <c r="E33" s="165"/>
      <c r="F33" s="85">
        <f t="shared" ref="F33:Z33" si="4">SUM(F19:F32)</f>
        <v>0</v>
      </c>
      <c r="G33" s="85">
        <f t="shared" si="4"/>
        <v>24</v>
      </c>
      <c r="H33" s="85">
        <f t="shared" si="4"/>
        <v>0</v>
      </c>
      <c r="I33" s="85">
        <f t="shared" si="4"/>
        <v>0</v>
      </c>
      <c r="J33" s="85">
        <f t="shared" si="4"/>
        <v>0</v>
      </c>
      <c r="K33" s="85">
        <f t="shared" si="4"/>
        <v>0</v>
      </c>
      <c r="L33" s="85">
        <f t="shared" si="4"/>
        <v>1</v>
      </c>
      <c r="M33" s="85">
        <f t="shared" si="4"/>
        <v>0</v>
      </c>
      <c r="N33" s="85">
        <f t="shared" si="4"/>
        <v>0</v>
      </c>
      <c r="O33" s="85">
        <f t="shared" si="4"/>
        <v>0</v>
      </c>
      <c r="P33" s="85">
        <f t="shared" si="4"/>
        <v>0</v>
      </c>
      <c r="Q33" s="85">
        <f t="shared" si="4"/>
        <v>2</v>
      </c>
      <c r="R33" s="85">
        <f t="shared" si="4"/>
        <v>0</v>
      </c>
      <c r="S33" s="85">
        <f t="shared" si="4"/>
        <v>0</v>
      </c>
      <c r="T33" s="85">
        <f t="shared" si="4"/>
        <v>0</v>
      </c>
      <c r="U33" s="85">
        <f t="shared" si="4"/>
        <v>0</v>
      </c>
      <c r="V33" s="85">
        <f t="shared" si="4"/>
        <v>2</v>
      </c>
      <c r="W33" s="85">
        <f t="shared" si="4"/>
        <v>0</v>
      </c>
      <c r="X33" s="85">
        <f t="shared" si="4"/>
        <v>0</v>
      </c>
      <c r="Y33" s="85">
        <f t="shared" si="4"/>
        <v>0</v>
      </c>
      <c r="Z33" s="85">
        <f t="shared" si="4"/>
        <v>0</v>
      </c>
      <c r="AA33" s="86">
        <f>SUM(F33:Z33)</f>
        <v>29</v>
      </c>
      <c r="AB33" s="87">
        <f t="shared" ref="AB33:AG33" si="5">SUM(AB19:AB32)</f>
        <v>116</v>
      </c>
      <c r="AC33" s="87">
        <f t="shared" si="5"/>
        <v>6</v>
      </c>
      <c r="AD33" s="87">
        <f t="shared" si="5"/>
        <v>12</v>
      </c>
      <c r="AE33" s="87">
        <f t="shared" si="5"/>
        <v>12</v>
      </c>
      <c r="AF33" s="87">
        <f t="shared" si="5"/>
        <v>4</v>
      </c>
      <c r="AG33" s="87">
        <f t="shared" si="5"/>
        <v>7</v>
      </c>
    </row>
    <row r="34" spans="2:33" s="2" customFormat="1" ht="48" customHeight="1" x14ac:dyDescent="0.25">
      <c r="B34" s="29" t="s">
        <v>59</v>
      </c>
      <c r="C34" s="27" t="s">
        <v>43</v>
      </c>
      <c r="D34" s="27" t="s">
        <v>60</v>
      </c>
      <c r="E34" s="27" t="s">
        <v>61</v>
      </c>
      <c r="F34" s="28">
        <v>0</v>
      </c>
      <c r="G34" s="31">
        <v>0</v>
      </c>
      <c r="H34" s="31">
        <v>1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B34" s="32">
        <v>0</v>
      </c>
      <c r="AC34" s="32">
        <v>0</v>
      </c>
      <c r="AD34" s="32">
        <v>0</v>
      </c>
      <c r="AE34" s="32">
        <v>0</v>
      </c>
      <c r="AF34" s="32">
        <v>0</v>
      </c>
      <c r="AG34" s="32">
        <v>0</v>
      </c>
    </row>
    <row r="35" spans="2:33" s="2" customFormat="1" ht="48" customHeight="1" x14ac:dyDescent="0.25">
      <c r="B35" s="29" t="s">
        <v>59</v>
      </c>
      <c r="C35" s="27" t="s">
        <v>43</v>
      </c>
      <c r="D35" s="27" t="s">
        <v>62</v>
      </c>
      <c r="E35" s="27" t="s">
        <v>61</v>
      </c>
      <c r="F35" s="28">
        <v>0</v>
      </c>
      <c r="G35" s="31">
        <v>1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31">
        <v>1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31">
        <v>1</v>
      </c>
      <c r="Z35" s="28">
        <v>0</v>
      </c>
      <c r="AB35" s="32">
        <v>0</v>
      </c>
      <c r="AC35" s="32">
        <v>0</v>
      </c>
      <c r="AD35" s="32">
        <v>0</v>
      </c>
      <c r="AE35" s="32">
        <v>0</v>
      </c>
      <c r="AF35" s="32">
        <v>0</v>
      </c>
      <c r="AG35" s="32">
        <v>0</v>
      </c>
    </row>
    <row r="36" spans="2:33" s="2" customFormat="1" ht="48" customHeight="1" x14ac:dyDescent="0.25">
      <c r="B36" s="29" t="s">
        <v>59</v>
      </c>
      <c r="C36" s="27" t="s">
        <v>43</v>
      </c>
      <c r="D36" s="27" t="s">
        <v>63</v>
      </c>
      <c r="E36" s="27" t="s">
        <v>61</v>
      </c>
      <c r="F36" s="28">
        <v>0</v>
      </c>
      <c r="G36" s="31">
        <v>2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B36" s="35">
        <v>25</v>
      </c>
      <c r="AC36" s="35">
        <v>2</v>
      </c>
      <c r="AD36" s="35">
        <v>3</v>
      </c>
      <c r="AE36" s="35">
        <v>1</v>
      </c>
      <c r="AF36" s="32">
        <v>0</v>
      </c>
      <c r="AG36" s="32">
        <v>0</v>
      </c>
    </row>
    <row r="37" spans="2:33" s="2" customFormat="1" ht="48" customHeight="1" x14ac:dyDescent="0.25">
      <c r="B37" s="29" t="s">
        <v>59</v>
      </c>
      <c r="C37" s="27" t="s">
        <v>43</v>
      </c>
      <c r="D37" s="27" t="s">
        <v>64</v>
      </c>
      <c r="E37" s="27" t="s">
        <v>61</v>
      </c>
      <c r="F37" s="28">
        <v>0</v>
      </c>
      <c r="G37" s="31">
        <v>1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B37" s="35">
        <v>10</v>
      </c>
      <c r="AC37" s="35">
        <v>2</v>
      </c>
      <c r="AD37" s="32">
        <v>0</v>
      </c>
      <c r="AE37" s="32">
        <v>0</v>
      </c>
      <c r="AF37" s="32">
        <v>0</v>
      </c>
      <c r="AG37" s="32">
        <v>0</v>
      </c>
    </row>
    <row r="38" spans="2:33" s="2" customFormat="1" ht="48" customHeight="1" x14ac:dyDescent="0.25">
      <c r="B38" s="29" t="s">
        <v>59</v>
      </c>
      <c r="C38" s="27" t="s">
        <v>43</v>
      </c>
      <c r="D38" s="27" t="s">
        <v>65</v>
      </c>
      <c r="E38" s="27" t="s">
        <v>61</v>
      </c>
      <c r="F38" s="28"/>
      <c r="G38" s="31">
        <v>1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B38" s="32">
        <v>0</v>
      </c>
      <c r="AC38" s="32">
        <v>0</v>
      </c>
      <c r="AD38" s="32">
        <v>0</v>
      </c>
      <c r="AE38" s="32">
        <v>0</v>
      </c>
      <c r="AF38" s="32">
        <v>0</v>
      </c>
      <c r="AG38" s="32">
        <v>0</v>
      </c>
    </row>
    <row r="39" spans="2:33" s="2" customFormat="1" ht="49.5" customHeight="1" x14ac:dyDescent="0.25">
      <c r="B39" s="29" t="s">
        <v>59</v>
      </c>
      <c r="C39" s="27" t="s">
        <v>66</v>
      </c>
      <c r="D39" s="27" t="s">
        <v>67</v>
      </c>
      <c r="E39" s="27" t="s">
        <v>61</v>
      </c>
      <c r="F39" s="28">
        <v>0</v>
      </c>
      <c r="G39" s="31">
        <v>3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31">
        <v>1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B39" s="35">
        <v>13</v>
      </c>
      <c r="AC39" s="35">
        <v>1</v>
      </c>
      <c r="AD39" s="32">
        <v>0</v>
      </c>
      <c r="AE39" s="32">
        <v>0</v>
      </c>
      <c r="AF39" s="32">
        <v>0</v>
      </c>
      <c r="AG39" s="35">
        <v>2</v>
      </c>
    </row>
    <row r="40" spans="2:33" s="2" customFormat="1" ht="49.5" customHeight="1" x14ac:dyDescent="0.25">
      <c r="B40" s="29" t="s">
        <v>59</v>
      </c>
      <c r="C40" s="27" t="s">
        <v>66</v>
      </c>
      <c r="D40" s="27" t="s">
        <v>68</v>
      </c>
      <c r="E40" s="27" t="s">
        <v>61</v>
      </c>
      <c r="F40" s="28">
        <v>0</v>
      </c>
      <c r="G40" s="31">
        <v>2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31">
        <v>1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B40" s="35">
        <v>11</v>
      </c>
      <c r="AC40" s="32">
        <v>0</v>
      </c>
      <c r="AD40" s="32">
        <v>0</v>
      </c>
      <c r="AE40" s="32">
        <v>0</v>
      </c>
      <c r="AF40" s="32">
        <v>0</v>
      </c>
      <c r="AG40" s="35">
        <v>3</v>
      </c>
    </row>
    <row r="41" spans="2:33" s="2" customFormat="1" ht="49.5" customHeight="1" x14ac:dyDescent="0.25">
      <c r="B41" s="29" t="s">
        <v>59</v>
      </c>
      <c r="C41" s="27" t="s">
        <v>66</v>
      </c>
      <c r="D41" s="27" t="s">
        <v>69</v>
      </c>
      <c r="E41" s="27" t="s">
        <v>61</v>
      </c>
      <c r="F41" s="28">
        <v>0</v>
      </c>
      <c r="G41" s="31">
        <v>2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B41" s="35">
        <v>9</v>
      </c>
      <c r="AC41" s="35">
        <v>1</v>
      </c>
      <c r="AD41" s="35">
        <v>1</v>
      </c>
      <c r="AE41" s="35">
        <v>1</v>
      </c>
      <c r="AF41" s="32">
        <v>0</v>
      </c>
      <c r="AG41" s="35">
        <v>4</v>
      </c>
    </row>
    <row r="42" spans="2:33" s="2" customFormat="1" ht="49.5" customHeight="1" x14ac:dyDescent="0.25">
      <c r="B42" s="29" t="s">
        <v>59</v>
      </c>
      <c r="C42" s="27" t="s">
        <v>66</v>
      </c>
      <c r="D42" s="27" t="s">
        <v>188</v>
      </c>
      <c r="E42" s="27" t="s">
        <v>61</v>
      </c>
      <c r="F42" s="28">
        <v>0</v>
      </c>
      <c r="G42" s="31">
        <v>3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B42" s="35">
        <v>11</v>
      </c>
      <c r="AC42" s="35">
        <v>1</v>
      </c>
      <c r="AD42" s="35">
        <v>1</v>
      </c>
      <c r="AE42" s="35">
        <v>1</v>
      </c>
      <c r="AF42" s="32">
        <v>0</v>
      </c>
      <c r="AG42" s="35">
        <v>3</v>
      </c>
    </row>
    <row r="43" spans="2:33" s="2" customFormat="1" ht="49.5" customHeight="1" x14ac:dyDescent="0.25">
      <c r="B43" s="29" t="s">
        <v>59</v>
      </c>
      <c r="C43" s="27" t="s">
        <v>66</v>
      </c>
      <c r="D43" s="27" t="s">
        <v>189</v>
      </c>
      <c r="E43" s="27" t="s">
        <v>70</v>
      </c>
      <c r="F43" s="28">
        <v>0</v>
      </c>
      <c r="G43" s="31">
        <v>2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B43" s="35">
        <v>13</v>
      </c>
      <c r="AC43" s="35">
        <v>1</v>
      </c>
      <c r="AD43" s="35">
        <v>1</v>
      </c>
      <c r="AE43" s="35">
        <v>1</v>
      </c>
      <c r="AF43" s="32">
        <v>0</v>
      </c>
      <c r="AG43" s="35">
        <v>2</v>
      </c>
    </row>
    <row r="44" spans="2:33" s="2" customFormat="1" ht="49.5" customHeight="1" x14ac:dyDescent="0.25">
      <c r="B44" s="29" t="s">
        <v>59</v>
      </c>
      <c r="C44" s="27" t="s">
        <v>66</v>
      </c>
      <c r="D44" s="27" t="s">
        <v>190</v>
      </c>
      <c r="E44" s="27" t="s">
        <v>71</v>
      </c>
      <c r="F44" s="28">
        <v>0</v>
      </c>
      <c r="G44" s="31">
        <v>1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B44" s="35">
        <v>8</v>
      </c>
      <c r="AC44" s="35">
        <v>1</v>
      </c>
      <c r="AD44" s="35">
        <v>1</v>
      </c>
      <c r="AE44" s="35">
        <v>1</v>
      </c>
      <c r="AF44" s="32">
        <v>0</v>
      </c>
      <c r="AG44" s="35">
        <v>1</v>
      </c>
    </row>
    <row r="45" spans="2:33" s="2" customFormat="1" ht="49.5" customHeight="1" x14ac:dyDescent="0.25">
      <c r="B45" s="29" t="s">
        <v>59</v>
      </c>
      <c r="C45" s="27" t="s">
        <v>66</v>
      </c>
      <c r="D45" s="27" t="s">
        <v>72</v>
      </c>
      <c r="E45" s="27" t="s">
        <v>73</v>
      </c>
      <c r="F45" s="28">
        <v>0</v>
      </c>
      <c r="G45" s="31">
        <v>1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</row>
    <row r="46" spans="2:33" s="2" customFormat="1" ht="43.5" customHeight="1" x14ac:dyDescent="0.25">
      <c r="B46" s="29" t="s">
        <v>59</v>
      </c>
      <c r="C46" s="27" t="s">
        <v>155</v>
      </c>
      <c r="D46" s="27" t="s">
        <v>191</v>
      </c>
      <c r="E46" s="27" t="s">
        <v>71</v>
      </c>
      <c r="F46" s="28">
        <v>0</v>
      </c>
      <c r="G46" s="31">
        <v>2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58">
        <f>+AA48*1</f>
        <v>466063123.24536371</v>
      </c>
      <c r="AB46" s="35">
        <v>8</v>
      </c>
      <c r="AC46" s="35">
        <v>1</v>
      </c>
      <c r="AD46" s="35">
        <v>1</v>
      </c>
      <c r="AE46" s="35">
        <v>1</v>
      </c>
      <c r="AF46" s="32">
        <v>0</v>
      </c>
      <c r="AG46" s="35">
        <v>3</v>
      </c>
    </row>
    <row r="47" spans="2:33" s="2" customFormat="1" ht="43.5" customHeight="1" x14ac:dyDescent="0.25">
      <c r="B47" s="29" t="s">
        <v>59</v>
      </c>
      <c r="C47" s="27" t="s">
        <v>155</v>
      </c>
      <c r="D47" s="27" t="s">
        <v>172</v>
      </c>
      <c r="E47" s="27" t="s">
        <v>61</v>
      </c>
      <c r="F47" s="28">
        <v>0</v>
      </c>
      <c r="G47" s="31">
        <v>3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32">
        <v>0</v>
      </c>
    </row>
    <row r="48" spans="2:33" s="2" customFormat="1" ht="43.5" customHeight="1" x14ac:dyDescent="0.25">
      <c r="B48" s="29" t="s">
        <v>59</v>
      </c>
      <c r="C48" s="27" t="s">
        <v>155</v>
      </c>
      <c r="D48" s="27" t="s">
        <v>173</v>
      </c>
      <c r="E48" s="27" t="s">
        <v>127</v>
      </c>
      <c r="F48" s="28">
        <v>0</v>
      </c>
      <c r="G48" s="31">
        <v>5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58">
        <f>+(G49*G97)+(H49*H97)+(P49*P97)+(Q49*Q97)+(Y49*Y97)</f>
        <v>466063123.24536371</v>
      </c>
      <c r="AB48" s="32">
        <v>0</v>
      </c>
      <c r="AC48" s="32">
        <v>0</v>
      </c>
      <c r="AD48" s="32">
        <v>0</v>
      </c>
      <c r="AE48" s="32">
        <v>0</v>
      </c>
      <c r="AF48" s="32">
        <v>0</v>
      </c>
      <c r="AG48" s="32">
        <v>0</v>
      </c>
    </row>
    <row r="49" spans="2:33" s="53" customFormat="1" ht="19.5" customHeight="1" x14ac:dyDescent="0.25">
      <c r="B49" s="165" t="s">
        <v>74</v>
      </c>
      <c r="C49" s="165"/>
      <c r="D49" s="165"/>
      <c r="E49" s="165"/>
      <c r="F49" s="85">
        <f t="shared" ref="F49:Z49" si="6">SUM(F34:F48)</f>
        <v>0</v>
      </c>
      <c r="G49" s="85">
        <f t="shared" si="6"/>
        <v>29</v>
      </c>
      <c r="H49" s="98">
        <f t="shared" si="6"/>
        <v>1</v>
      </c>
      <c r="I49" s="98">
        <f t="shared" si="6"/>
        <v>0</v>
      </c>
      <c r="J49" s="98">
        <f t="shared" si="6"/>
        <v>0</v>
      </c>
      <c r="K49" s="98">
        <f t="shared" si="6"/>
        <v>0</v>
      </c>
      <c r="L49" s="98">
        <f t="shared" si="6"/>
        <v>0</v>
      </c>
      <c r="M49" s="98">
        <f t="shared" si="6"/>
        <v>0</v>
      </c>
      <c r="N49" s="98">
        <f t="shared" si="6"/>
        <v>0</v>
      </c>
      <c r="O49" s="98">
        <f t="shared" si="6"/>
        <v>0</v>
      </c>
      <c r="P49" s="98">
        <f t="shared" si="6"/>
        <v>1</v>
      </c>
      <c r="Q49" s="98">
        <f t="shared" si="6"/>
        <v>2</v>
      </c>
      <c r="R49" s="98">
        <f t="shared" si="6"/>
        <v>0</v>
      </c>
      <c r="S49" s="98">
        <f t="shared" si="6"/>
        <v>0</v>
      </c>
      <c r="T49" s="98">
        <f t="shared" si="6"/>
        <v>0</v>
      </c>
      <c r="U49" s="98">
        <f t="shared" si="6"/>
        <v>0</v>
      </c>
      <c r="V49" s="98">
        <f t="shared" si="6"/>
        <v>0</v>
      </c>
      <c r="W49" s="98">
        <f t="shared" si="6"/>
        <v>0</v>
      </c>
      <c r="X49" s="98">
        <f t="shared" si="6"/>
        <v>0</v>
      </c>
      <c r="Y49" s="98">
        <f t="shared" si="6"/>
        <v>1</v>
      </c>
      <c r="Z49" s="98">
        <f t="shared" si="6"/>
        <v>0</v>
      </c>
      <c r="AA49" s="86">
        <f>SUM(F49:Z49)</f>
        <v>34</v>
      </c>
      <c r="AB49" s="87">
        <f>SUM(AB34:AB48)</f>
        <v>108</v>
      </c>
      <c r="AC49" s="87">
        <f t="shared" ref="AC49:AG49" si="7">SUM(AC34:AC48)</f>
        <v>10</v>
      </c>
      <c r="AD49" s="87">
        <f t="shared" si="7"/>
        <v>8</v>
      </c>
      <c r="AE49" s="87">
        <f t="shared" si="7"/>
        <v>6</v>
      </c>
      <c r="AF49" s="87">
        <f t="shared" si="7"/>
        <v>0</v>
      </c>
      <c r="AG49" s="87">
        <f t="shared" si="7"/>
        <v>18</v>
      </c>
    </row>
    <row r="50" spans="2:33" s="2" customFormat="1" ht="49.5" customHeight="1" x14ac:dyDescent="0.25">
      <c r="B50" s="29" t="s">
        <v>75</v>
      </c>
      <c r="C50" s="27" t="s">
        <v>198</v>
      </c>
      <c r="D50" s="27" t="s">
        <v>196</v>
      </c>
      <c r="E50" s="27" t="s">
        <v>128</v>
      </c>
      <c r="F50" s="28">
        <v>0</v>
      </c>
      <c r="G50" s="31">
        <v>7</v>
      </c>
      <c r="H50" s="31">
        <v>1</v>
      </c>
      <c r="I50" s="28"/>
      <c r="J50" s="28"/>
      <c r="K50" s="28"/>
      <c r="L50" s="28">
        <v>0</v>
      </c>
      <c r="M50" s="28">
        <v>0</v>
      </c>
      <c r="N50" s="28">
        <v>0</v>
      </c>
      <c r="O50" s="28">
        <v>0</v>
      </c>
      <c r="P50" s="31">
        <v>1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B50" s="35">
        <v>45</v>
      </c>
      <c r="AC50" s="35">
        <v>2</v>
      </c>
      <c r="AD50" s="35">
        <v>2</v>
      </c>
      <c r="AE50" s="35">
        <v>2</v>
      </c>
      <c r="AF50" s="32">
        <v>0</v>
      </c>
      <c r="AG50" s="35">
        <v>1</v>
      </c>
    </row>
    <row r="51" spans="2:33" s="2" customFormat="1" ht="43.5" customHeight="1" x14ac:dyDescent="0.25">
      <c r="B51" s="29" t="s">
        <v>75</v>
      </c>
      <c r="C51" s="27" t="s">
        <v>198</v>
      </c>
      <c r="D51" s="27" t="s">
        <v>76</v>
      </c>
      <c r="E51" s="27" t="s">
        <v>128</v>
      </c>
      <c r="F51" s="28">
        <v>0</v>
      </c>
      <c r="G51" s="31">
        <v>1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31">
        <v>1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B51" s="35">
        <v>6</v>
      </c>
      <c r="AC51" s="35">
        <v>1</v>
      </c>
      <c r="AD51" s="35">
        <v>1</v>
      </c>
      <c r="AE51" s="35">
        <v>1</v>
      </c>
      <c r="AF51" s="32">
        <v>0</v>
      </c>
      <c r="AG51" s="35">
        <v>1</v>
      </c>
    </row>
    <row r="52" spans="2:33" s="2" customFormat="1" ht="43.5" customHeight="1" x14ac:dyDescent="0.25">
      <c r="B52" s="29" t="s">
        <v>75</v>
      </c>
      <c r="C52" s="27" t="s">
        <v>198</v>
      </c>
      <c r="D52" s="27" t="s">
        <v>156</v>
      </c>
      <c r="E52" s="27" t="s">
        <v>128</v>
      </c>
      <c r="F52" s="28">
        <v>0</v>
      </c>
      <c r="G52" s="31">
        <v>3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B52" s="35">
        <f>25</f>
        <v>25</v>
      </c>
      <c r="AC52" s="32">
        <v>0</v>
      </c>
      <c r="AD52" s="35">
        <f>2</f>
        <v>2</v>
      </c>
      <c r="AE52" s="35">
        <v>2</v>
      </c>
      <c r="AF52" s="32">
        <v>0</v>
      </c>
      <c r="AG52" s="35">
        <v>1</v>
      </c>
    </row>
    <row r="53" spans="2:33" s="2" customFormat="1" ht="49.5" customHeight="1" x14ac:dyDescent="0.25">
      <c r="B53" s="29" t="s">
        <v>75</v>
      </c>
      <c r="C53" s="27" t="s">
        <v>169</v>
      </c>
      <c r="D53" s="27" t="s">
        <v>157</v>
      </c>
      <c r="E53" s="27" t="s">
        <v>128</v>
      </c>
      <c r="F53" s="28">
        <v>0</v>
      </c>
      <c r="G53" s="31">
        <v>6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B53" s="35">
        <v>25</v>
      </c>
      <c r="AC53" s="35">
        <v>1</v>
      </c>
      <c r="AD53" s="35">
        <v>1</v>
      </c>
      <c r="AE53" s="35">
        <v>1</v>
      </c>
      <c r="AF53" s="32">
        <v>0</v>
      </c>
      <c r="AG53" s="35">
        <v>1</v>
      </c>
    </row>
    <row r="54" spans="2:33" s="2" customFormat="1" ht="43.5" customHeight="1" x14ac:dyDescent="0.25">
      <c r="B54" s="29" t="s">
        <v>75</v>
      </c>
      <c r="C54" s="27" t="s">
        <v>198</v>
      </c>
      <c r="D54" s="27" t="s">
        <v>170</v>
      </c>
      <c r="E54" s="27" t="s">
        <v>159</v>
      </c>
      <c r="F54" s="28">
        <v>0</v>
      </c>
      <c r="G54" s="31">
        <v>4</v>
      </c>
      <c r="H54" s="31">
        <v>1</v>
      </c>
      <c r="I54" s="28"/>
      <c r="J54" s="28"/>
      <c r="K54" s="28"/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58">
        <f>+AA56*1</f>
        <v>476240160.86855686</v>
      </c>
      <c r="AB54" s="32">
        <v>0</v>
      </c>
      <c r="AC54" s="32">
        <v>0</v>
      </c>
      <c r="AD54" s="32">
        <v>0</v>
      </c>
      <c r="AE54" s="32">
        <v>0</v>
      </c>
      <c r="AF54" s="32">
        <v>0</v>
      </c>
      <c r="AG54" s="32">
        <v>0</v>
      </c>
    </row>
    <row r="55" spans="2:33" s="2" customFormat="1" ht="49.5" customHeight="1" x14ac:dyDescent="0.25">
      <c r="B55" s="29" t="s">
        <v>75</v>
      </c>
      <c r="C55" s="27" t="s">
        <v>169</v>
      </c>
      <c r="D55" s="27" t="s">
        <v>158</v>
      </c>
      <c r="E55" s="27" t="s">
        <v>129</v>
      </c>
      <c r="F55" s="28">
        <v>0</v>
      </c>
      <c r="G55" s="31">
        <v>7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B55" s="35">
        <v>15</v>
      </c>
      <c r="AC55" s="35">
        <v>1</v>
      </c>
      <c r="AD55" s="35">
        <v>1</v>
      </c>
      <c r="AE55" s="35">
        <v>1</v>
      </c>
      <c r="AF55" s="32">
        <v>0</v>
      </c>
      <c r="AG55" s="35">
        <v>1</v>
      </c>
    </row>
    <row r="56" spans="2:33" s="2" customFormat="1" ht="49.5" customHeight="1" x14ac:dyDescent="0.25">
      <c r="B56" s="29" t="s">
        <v>75</v>
      </c>
      <c r="C56" s="27" t="s">
        <v>169</v>
      </c>
      <c r="D56" s="27" t="s">
        <v>174</v>
      </c>
      <c r="E56" s="27" t="s">
        <v>129</v>
      </c>
      <c r="F56" s="28">
        <v>0</v>
      </c>
      <c r="G56" s="31">
        <v>1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1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58">
        <f>+(G57*G97)+(H57*H97)+(P57*P97)</f>
        <v>476240160.86855686</v>
      </c>
      <c r="AB56" s="35">
        <v>5</v>
      </c>
      <c r="AC56" s="35">
        <v>0</v>
      </c>
      <c r="AD56" s="35">
        <v>1</v>
      </c>
      <c r="AE56" s="35">
        <v>1</v>
      </c>
      <c r="AF56" s="32">
        <v>0</v>
      </c>
      <c r="AG56" s="35">
        <v>1</v>
      </c>
    </row>
    <row r="57" spans="2:33" s="53" customFormat="1" ht="19.5" customHeight="1" x14ac:dyDescent="0.25">
      <c r="B57" s="165" t="s">
        <v>77</v>
      </c>
      <c r="C57" s="165"/>
      <c r="D57" s="165"/>
      <c r="E57" s="165"/>
      <c r="F57" s="85">
        <f>SUM(F50:F56)</f>
        <v>0</v>
      </c>
      <c r="G57" s="85">
        <f>SUM(G50:G56)</f>
        <v>29</v>
      </c>
      <c r="H57" s="85">
        <f t="shared" ref="H57:Z57" si="8">SUM(H50:H56)</f>
        <v>2</v>
      </c>
      <c r="I57" s="85">
        <f t="shared" si="8"/>
        <v>0</v>
      </c>
      <c r="J57" s="85">
        <f t="shared" si="8"/>
        <v>0</v>
      </c>
      <c r="K57" s="85">
        <f t="shared" si="8"/>
        <v>0</v>
      </c>
      <c r="L57" s="85">
        <f t="shared" si="8"/>
        <v>0</v>
      </c>
      <c r="M57" s="85">
        <f t="shared" si="8"/>
        <v>0</v>
      </c>
      <c r="N57" s="85">
        <f t="shared" si="8"/>
        <v>0</v>
      </c>
      <c r="O57" s="85">
        <f t="shared" si="8"/>
        <v>0</v>
      </c>
      <c r="P57" s="85">
        <f t="shared" si="8"/>
        <v>3</v>
      </c>
      <c r="Q57" s="85">
        <f t="shared" si="8"/>
        <v>0</v>
      </c>
      <c r="R57" s="85">
        <f t="shared" si="8"/>
        <v>0</v>
      </c>
      <c r="S57" s="85">
        <f t="shared" si="8"/>
        <v>0</v>
      </c>
      <c r="T57" s="85">
        <f t="shared" si="8"/>
        <v>0</v>
      </c>
      <c r="U57" s="85">
        <f t="shared" si="8"/>
        <v>0</v>
      </c>
      <c r="V57" s="85">
        <f t="shared" si="8"/>
        <v>0</v>
      </c>
      <c r="W57" s="85">
        <f t="shared" si="8"/>
        <v>0</v>
      </c>
      <c r="X57" s="85">
        <f t="shared" si="8"/>
        <v>0</v>
      </c>
      <c r="Y57" s="85">
        <f t="shared" si="8"/>
        <v>0</v>
      </c>
      <c r="Z57" s="85">
        <f t="shared" si="8"/>
        <v>0</v>
      </c>
      <c r="AA57" s="86">
        <f>SUM(F57:Z57)</f>
        <v>34</v>
      </c>
      <c r="AB57" s="88">
        <f>SUM(AB50:AB56)</f>
        <v>121</v>
      </c>
      <c r="AC57" s="88">
        <f t="shared" ref="AC57:AG57" si="9">SUM(AC50:AC56)</f>
        <v>5</v>
      </c>
      <c r="AD57" s="88">
        <f t="shared" si="9"/>
        <v>8</v>
      </c>
      <c r="AE57" s="88">
        <f t="shared" si="9"/>
        <v>8</v>
      </c>
      <c r="AF57" s="88">
        <f t="shared" si="9"/>
        <v>0</v>
      </c>
      <c r="AG57" s="88">
        <f t="shared" si="9"/>
        <v>6</v>
      </c>
    </row>
    <row r="58" spans="2:33" s="2" customFormat="1" ht="49.5" customHeight="1" x14ac:dyDescent="0.25">
      <c r="B58" s="29" t="s">
        <v>78</v>
      </c>
      <c r="C58" s="27" t="s">
        <v>33</v>
      </c>
      <c r="D58" s="27" t="s">
        <v>160</v>
      </c>
      <c r="E58" s="27" t="s">
        <v>119</v>
      </c>
      <c r="F58" s="28">
        <v>0</v>
      </c>
      <c r="G58" s="31">
        <v>5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B58" s="35">
        <v>26</v>
      </c>
      <c r="AC58" s="35">
        <v>3</v>
      </c>
      <c r="AD58" s="35">
        <v>1</v>
      </c>
      <c r="AE58" s="35">
        <v>1</v>
      </c>
      <c r="AF58" s="35">
        <v>1</v>
      </c>
      <c r="AG58" s="35">
        <v>2</v>
      </c>
    </row>
    <row r="59" spans="2:33" s="2" customFormat="1" ht="49.5" customHeight="1" x14ac:dyDescent="0.25">
      <c r="B59" s="29" t="s">
        <v>78</v>
      </c>
      <c r="C59" s="27" t="s">
        <v>43</v>
      </c>
      <c r="D59" s="27" t="s">
        <v>164</v>
      </c>
      <c r="E59" s="27" t="s">
        <v>119</v>
      </c>
      <c r="F59" s="28">
        <v>0</v>
      </c>
      <c r="G59" s="31">
        <v>1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B59" s="32">
        <v>0</v>
      </c>
      <c r="AC59" s="32">
        <v>0</v>
      </c>
      <c r="AD59" s="32">
        <v>0</v>
      </c>
      <c r="AE59" s="32">
        <v>0</v>
      </c>
      <c r="AF59" s="32">
        <v>0</v>
      </c>
      <c r="AG59" s="32">
        <v>0</v>
      </c>
    </row>
    <row r="60" spans="2:33" s="2" customFormat="1" ht="44.25" customHeight="1" x14ac:dyDescent="0.25">
      <c r="B60" s="30" t="s">
        <v>78</v>
      </c>
      <c r="C60" s="27" t="s">
        <v>79</v>
      </c>
      <c r="D60" s="27" t="s">
        <v>161</v>
      </c>
      <c r="E60" s="27" t="s">
        <v>119</v>
      </c>
      <c r="F60" s="28">
        <v>0</v>
      </c>
      <c r="G60" s="36">
        <v>1</v>
      </c>
      <c r="H60" s="31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B60" s="32">
        <v>0</v>
      </c>
      <c r="AC60" s="32">
        <v>0</v>
      </c>
      <c r="AD60" s="32">
        <v>0</v>
      </c>
      <c r="AE60" s="32">
        <v>0</v>
      </c>
      <c r="AF60" s="32">
        <v>0</v>
      </c>
      <c r="AG60" s="32">
        <v>0</v>
      </c>
    </row>
    <row r="61" spans="2:33" s="2" customFormat="1" ht="44.25" customHeight="1" x14ac:dyDescent="0.25">
      <c r="B61" s="30" t="s">
        <v>78</v>
      </c>
      <c r="C61" s="27" t="s">
        <v>79</v>
      </c>
      <c r="D61" s="27" t="s">
        <v>162</v>
      </c>
      <c r="E61" s="27" t="s">
        <v>119</v>
      </c>
      <c r="F61" s="28">
        <v>0</v>
      </c>
      <c r="G61" s="36">
        <v>3</v>
      </c>
      <c r="H61" s="31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B61" s="35">
        <v>16</v>
      </c>
      <c r="AC61" s="32">
        <v>0</v>
      </c>
      <c r="AD61" s="35">
        <v>1</v>
      </c>
      <c r="AE61" s="35">
        <v>1</v>
      </c>
      <c r="AF61" s="35">
        <v>1</v>
      </c>
      <c r="AG61" s="35">
        <v>1</v>
      </c>
    </row>
    <row r="62" spans="2:33" s="2" customFormat="1" ht="44.25" customHeight="1" x14ac:dyDescent="0.25">
      <c r="B62" s="30" t="s">
        <v>78</v>
      </c>
      <c r="C62" s="27" t="s">
        <v>79</v>
      </c>
      <c r="D62" s="27" t="s">
        <v>163</v>
      </c>
      <c r="E62" s="27" t="s">
        <v>119</v>
      </c>
      <c r="F62" s="28">
        <v>0</v>
      </c>
      <c r="G62" s="36">
        <v>1</v>
      </c>
      <c r="H62" s="31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B62" s="32">
        <v>0</v>
      </c>
      <c r="AC62" s="32">
        <v>0</v>
      </c>
      <c r="AD62" s="32">
        <v>0</v>
      </c>
      <c r="AE62" s="32">
        <v>0</v>
      </c>
      <c r="AF62" s="32">
        <v>0</v>
      </c>
      <c r="AG62" s="32">
        <v>0</v>
      </c>
    </row>
    <row r="63" spans="2:33" s="2" customFormat="1" ht="44.25" customHeight="1" x14ac:dyDescent="0.25">
      <c r="B63" s="30" t="s">
        <v>78</v>
      </c>
      <c r="C63" s="27" t="s">
        <v>79</v>
      </c>
      <c r="D63" s="27" t="s">
        <v>80</v>
      </c>
      <c r="E63" s="27" t="s">
        <v>119</v>
      </c>
      <c r="F63" s="28">
        <v>0</v>
      </c>
      <c r="G63" s="36">
        <v>2</v>
      </c>
      <c r="H63" s="31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B63" s="35">
        <v>23</v>
      </c>
      <c r="AC63" s="32">
        <v>0</v>
      </c>
      <c r="AD63" s="35">
        <v>1</v>
      </c>
      <c r="AE63" s="35">
        <v>1</v>
      </c>
      <c r="AF63" s="35">
        <v>1</v>
      </c>
      <c r="AG63" s="35">
        <v>1</v>
      </c>
    </row>
    <row r="64" spans="2:33" s="2" customFormat="1" ht="49.5" customHeight="1" x14ac:dyDescent="0.25">
      <c r="B64" s="29" t="s">
        <v>78</v>
      </c>
      <c r="C64" s="27" t="s">
        <v>81</v>
      </c>
      <c r="D64" s="27" t="s">
        <v>82</v>
      </c>
      <c r="E64" s="27" t="s">
        <v>130</v>
      </c>
      <c r="F64" s="28">
        <v>0</v>
      </c>
      <c r="G64" s="31">
        <v>4</v>
      </c>
      <c r="H64" s="28">
        <v>0</v>
      </c>
      <c r="I64" s="28">
        <v>0</v>
      </c>
      <c r="J64" s="28">
        <v>0</v>
      </c>
      <c r="K64" s="28">
        <v>0</v>
      </c>
      <c r="L64" s="31">
        <v>1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31">
        <v>1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B64" s="35">
        <v>28</v>
      </c>
      <c r="AC64" s="35">
        <v>4</v>
      </c>
      <c r="AD64" s="35">
        <v>2</v>
      </c>
      <c r="AE64" s="35">
        <v>2</v>
      </c>
      <c r="AF64" s="35">
        <v>2</v>
      </c>
      <c r="AG64" s="35">
        <v>5</v>
      </c>
    </row>
    <row r="65" spans="2:33" s="2" customFormat="1" ht="49.5" customHeight="1" x14ac:dyDescent="0.25">
      <c r="B65" s="29" t="s">
        <v>78</v>
      </c>
      <c r="C65" s="27" t="s">
        <v>83</v>
      </c>
      <c r="D65" s="27" t="s">
        <v>141</v>
      </c>
      <c r="E65" s="27" t="s">
        <v>131</v>
      </c>
      <c r="F65" s="31">
        <v>2</v>
      </c>
      <c r="G65" s="31">
        <v>3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B65" s="35">
        <v>19</v>
      </c>
      <c r="AC65" s="35">
        <v>4</v>
      </c>
      <c r="AD65" s="35">
        <v>2</v>
      </c>
      <c r="AE65" s="35">
        <v>2</v>
      </c>
      <c r="AF65" s="35">
        <v>2</v>
      </c>
      <c r="AG65" s="35">
        <v>5</v>
      </c>
    </row>
    <row r="66" spans="2:33" s="2" customFormat="1" ht="44.25" customHeight="1" x14ac:dyDescent="0.25">
      <c r="B66" s="30" t="s">
        <v>78</v>
      </c>
      <c r="C66" s="27" t="s">
        <v>84</v>
      </c>
      <c r="D66" s="27" t="s">
        <v>85</v>
      </c>
      <c r="E66" s="27" t="s">
        <v>132</v>
      </c>
      <c r="F66" s="36">
        <v>1</v>
      </c>
      <c r="G66" s="36">
        <v>5</v>
      </c>
      <c r="H66" s="31">
        <v>1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B66" s="35">
        <v>67</v>
      </c>
      <c r="AC66" s="35">
        <v>2</v>
      </c>
      <c r="AD66" s="35">
        <v>3</v>
      </c>
      <c r="AE66" s="35">
        <v>3</v>
      </c>
      <c r="AF66" s="35">
        <v>1</v>
      </c>
      <c r="AG66" s="35">
        <v>3</v>
      </c>
    </row>
    <row r="67" spans="2:33" s="2" customFormat="1" ht="44.25" customHeight="1" x14ac:dyDescent="0.25">
      <c r="B67" s="30" t="s">
        <v>78</v>
      </c>
      <c r="C67" s="27" t="s">
        <v>84</v>
      </c>
      <c r="D67" s="27" t="s">
        <v>140</v>
      </c>
      <c r="E67" s="27" t="s">
        <v>132</v>
      </c>
      <c r="F67" s="28">
        <v>0</v>
      </c>
      <c r="G67" s="36">
        <v>1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B67" s="35">
        <v>8</v>
      </c>
      <c r="AC67" s="35">
        <v>1</v>
      </c>
      <c r="AD67" s="35">
        <v>1</v>
      </c>
      <c r="AE67" s="35">
        <v>1</v>
      </c>
      <c r="AF67" s="32">
        <v>0</v>
      </c>
      <c r="AG67" s="32">
        <v>0</v>
      </c>
    </row>
    <row r="68" spans="2:33" s="2" customFormat="1" ht="44.25" customHeight="1" x14ac:dyDescent="0.25">
      <c r="B68" s="30" t="s">
        <v>78</v>
      </c>
      <c r="C68" s="27" t="s">
        <v>84</v>
      </c>
      <c r="D68" s="27" t="s">
        <v>86</v>
      </c>
      <c r="E68" s="27" t="s">
        <v>132</v>
      </c>
      <c r="F68" s="28">
        <v>0</v>
      </c>
      <c r="G68" s="36">
        <v>2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B68" s="32">
        <v>0</v>
      </c>
      <c r="AC68" s="32">
        <v>0</v>
      </c>
      <c r="AD68" s="32">
        <v>0</v>
      </c>
      <c r="AE68" s="32">
        <v>0</v>
      </c>
      <c r="AF68" s="32">
        <v>0</v>
      </c>
      <c r="AG68" s="32">
        <v>0</v>
      </c>
    </row>
    <row r="69" spans="2:33" s="2" customFormat="1" ht="49.5" customHeight="1" x14ac:dyDescent="0.25">
      <c r="B69" s="29" t="s">
        <v>78</v>
      </c>
      <c r="C69" s="27" t="s">
        <v>87</v>
      </c>
      <c r="D69" s="27" t="s">
        <v>165</v>
      </c>
      <c r="E69" s="27" t="s">
        <v>132</v>
      </c>
      <c r="F69" s="28">
        <v>0</v>
      </c>
      <c r="G69" s="31">
        <v>2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B69" s="35">
        <v>13</v>
      </c>
      <c r="AC69" s="35">
        <v>3</v>
      </c>
      <c r="AD69" s="35">
        <v>1</v>
      </c>
      <c r="AE69" s="35">
        <v>1</v>
      </c>
      <c r="AF69" s="32">
        <v>0</v>
      </c>
      <c r="AG69" s="32">
        <v>0</v>
      </c>
    </row>
    <row r="70" spans="2:33" s="2" customFormat="1" ht="49.5" customHeight="1" x14ac:dyDescent="0.25">
      <c r="B70" s="29" t="s">
        <v>78</v>
      </c>
      <c r="C70" s="27" t="s">
        <v>87</v>
      </c>
      <c r="D70" s="27" t="s">
        <v>142</v>
      </c>
      <c r="E70" s="27" t="s">
        <v>132</v>
      </c>
      <c r="F70" s="28">
        <v>0</v>
      </c>
      <c r="G70" s="31">
        <v>1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B70" s="32">
        <v>0</v>
      </c>
      <c r="AC70" s="32">
        <v>0</v>
      </c>
      <c r="AD70" s="32">
        <v>0</v>
      </c>
      <c r="AE70" s="32">
        <v>0</v>
      </c>
      <c r="AF70" s="32">
        <v>0</v>
      </c>
      <c r="AG70" s="32">
        <v>0</v>
      </c>
    </row>
    <row r="71" spans="2:33" s="2" customFormat="1" ht="49.5" customHeight="1" x14ac:dyDescent="0.25">
      <c r="B71" s="29" t="s">
        <v>78</v>
      </c>
      <c r="C71" s="27" t="s">
        <v>87</v>
      </c>
      <c r="D71" s="27" t="s">
        <v>88</v>
      </c>
      <c r="E71" s="27" t="s">
        <v>133</v>
      </c>
      <c r="F71" s="28">
        <v>0</v>
      </c>
      <c r="G71" s="31">
        <v>3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31">
        <v>1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B71" s="35">
        <v>28</v>
      </c>
      <c r="AC71" s="35">
        <v>4</v>
      </c>
      <c r="AD71" s="32">
        <v>0</v>
      </c>
      <c r="AE71" s="32">
        <v>0</v>
      </c>
      <c r="AF71" s="35">
        <v>1</v>
      </c>
      <c r="AG71" s="35">
        <v>1</v>
      </c>
    </row>
    <row r="72" spans="2:33" s="2" customFormat="1" ht="49.5" customHeight="1" x14ac:dyDescent="0.25">
      <c r="B72" s="29" t="s">
        <v>78</v>
      </c>
      <c r="C72" s="27" t="s">
        <v>87</v>
      </c>
      <c r="D72" s="27" t="s">
        <v>192</v>
      </c>
      <c r="E72" s="27" t="s">
        <v>119</v>
      </c>
      <c r="F72" s="28">
        <v>0</v>
      </c>
      <c r="G72" s="31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31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B72" s="32">
        <v>0</v>
      </c>
      <c r="AC72" s="32">
        <v>0</v>
      </c>
      <c r="AD72" s="32">
        <v>0</v>
      </c>
      <c r="AE72" s="32">
        <v>0</v>
      </c>
      <c r="AF72" s="32">
        <v>0</v>
      </c>
      <c r="AG72" s="32">
        <v>0</v>
      </c>
    </row>
    <row r="73" spans="2:33" s="2" customFormat="1" ht="37.5" customHeight="1" x14ac:dyDescent="0.25">
      <c r="B73" s="30" t="s">
        <v>78</v>
      </c>
      <c r="C73" s="27" t="s">
        <v>89</v>
      </c>
      <c r="D73" s="27" t="s">
        <v>175</v>
      </c>
      <c r="E73" s="27" t="s">
        <v>120</v>
      </c>
      <c r="F73" s="33">
        <v>0</v>
      </c>
      <c r="G73" s="37">
        <v>3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34">
        <v>0</v>
      </c>
      <c r="V73" s="34">
        <v>0</v>
      </c>
      <c r="W73" s="34">
        <v>0</v>
      </c>
      <c r="X73" s="28">
        <v>0</v>
      </c>
      <c r="Y73" s="28">
        <v>0</v>
      </c>
      <c r="Z73" s="28">
        <v>0</v>
      </c>
      <c r="AB73" s="35">
        <v>24</v>
      </c>
      <c r="AC73" s="35">
        <v>1</v>
      </c>
      <c r="AD73" s="35">
        <v>1</v>
      </c>
      <c r="AE73" s="35">
        <v>1</v>
      </c>
      <c r="AF73" s="32">
        <v>0</v>
      </c>
      <c r="AG73" s="35">
        <v>4</v>
      </c>
    </row>
    <row r="74" spans="2:33" s="2" customFormat="1" ht="37.5" customHeight="1" x14ac:dyDescent="0.25">
      <c r="B74" s="30" t="s">
        <v>78</v>
      </c>
      <c r="C74" s="27" t="s">
        <v>89</v>
      </c>
      <c r="D74" s="27" t="s">
        <v>176</v>
      </c>
      <c r="E74" s="27" t="s">
        <v>118</v>
      </c>
      <c r="F74" s="33">
        <v>0</v>
      </c>
      <c r="G74" s="37">
        <v>1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34">
        <v>0</v>
      </c>
      <c r="V74" s="34">
        <v>0</v>
      </c>
      <c r="W74" s="34">
        <v>0</v>
      </c>
      <c r="X74" s="28">
        <v>0</v>
      </c>
      <c r="Y74" s="28">
        <v>0</v>
      </c>
      <c r="Z74" s="28">
        <v>0</v>
      </c>
      <c r="AB74" s="35">
        <v>8</v>
      </c>
      <c r="AC74" s="32">
        <v>0</v>
      </c>
      <c r="AD74" s="35">
        <v>1</v>
      </c>
      <c r="AE74" s="35">
        <v>1</v>
      </c>
      <c r="AF74" s="32">
        <v>0</v>
      </c>
      <c r="AG74" s="35">
        <v>2</v>
      </c>
    </row>
    <row r="75" spans="2:33" s="2" customFormat="1" ht="49.5" customHeight="1" x14ac:dyDescent="0.25">
      <c r="B75" s="29" t="s">
        <v>78</v>
      </c>
      <c r="C75" s="27" t="s">
        <v>90</v>
      </c>
      <c r="D75" s="27" t="s">
        <v>177</v>
      </c>
      <c r="E75" s="27" t="s">
        <v>116</v>
      </c>
      <c r="F75" s="28">
        <v>0</v>
      </c>
      <c r="G75" s="31">
        <v>3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B75" s="35">
        <v>9</v>
      </c>
      <c r="AC75" s="35">
        <v>2</v>
      </c>
      <c r="AD75" s="35">
        <v>1</v>
      </c>
      <c r="AE75" s="35">
        <v>1</v>
      </c>
      <c r="AF75" s="35">
        <v>1</v>
      </c>
      <c r="AG75" s="35">
        <v>2</v>
      </c>
    </row>
    <row r="76" spans="2:33" s="2" customFormat="1" ht="49.5" customHeight="1" x14ac:dyDescent="0.25">
      <c r="B76" s="29" t="s">
        <v>78</v>
      </c>
      <c r="C76" s="27" t="s">
        <v>91</v>
      </c>
      <c r="D76" s="27" t="s">
        <v>166</v>
      </c>
      <c r="E76" s="27" t="s">
        <v>117</v>
      </c>
      <c r="F76" s="28">
        <v>0</v>
      </c>
      <c r="G76" s="31">
        <v>3</v>
      </c>
      <c r="H76" s="28">
        <v>0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B76" s="35">
        <v>11</v>
      </c>
      <c r="AC76" s="35">
        <v>2</v>
      </c>
      <c r="AD76" s="35">
        <v>1</v>
      </c>
      <c r="AE76" s="35">
        <v>1</v>
      </c>
      <c r="AF76" s="32">
        <v>0</v>
      </c>
      <c r="AG76" s="35">
        <v>6</v>
      </c>
    </row>
    <row r="77" spans="2:33" s="2" customFormat="1" ht="49.5" customHeight="1" x14ac:dyDescent="0.25">
      <c r="B77" s="29" t="s">
        <v>78</v>
      </c>
      <c r="C77" s="27" t="s">
        <v>91</v>
      </c>
      <c r="D77" s="27" t="s">
        <v>199</v>
      </c>
      <c r="E77" s="27" t="s">
        <v>116</v>
      </c>
      <c r="F77" s="28">
        <v>0</v>
      </c>
      <c r="G77" s="31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31">
        <v>1</v>
      </c>
      <c r="X77" s="28">
        <v>0</v>
      </c>
      <c r="Y77" s="28">
        <v>0</v>
      </c>
      <c r="Z77" s="28">
        <v>0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32">
        <v>0</v>
      </c>
    </row>
    <row r="78" spans="2:33" s="2" customFormat="1" ht="49.5" customHeight="1" x14ac:dyDescent="0.25">
      <c r="B78" s="29" t="s">
        <v>78</v>
      </c>
      <c r="C78" s="27" t="s">
        <v>91</v>
      </c>
      <c r="D78" s="27" t="s">
        <v>92</v>
      </c>
      <c r="E78" s="27" t="s">
        <v>134</v>
      </c>
      <c r="F78" s="28">
        <v>0</v>
      </c>
      <c r="G78" s="31">
        <v>1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B78" s="35">
        <v>5</v>
      </c>
      <c r="AC78" s="35">
        <v>2</v>
      </c>
      <c r="AD78" s="35">
        <v>1</v>
      </c>
      <c r="AE78" s="35">
        <v>1</v>
      </c>
      <c r="AF78" s="32">
        <v>0</v>
      </c>
      <c r="AG78" s="35">
        <v>1</v>
      </c>
    </row>
    <row r="79" spans="2:33" s="2" customFormat="1" ht="44.25" customHeight="1" x14ac:dyDescent="0.25">
      <c r="B79" s="30" t="s">
        <v>78</v>
      </c>
      <c r="C79" s="27" t="s">
        <v>93</v>
      </c>
      <c r="D79" s="27" t="s">
        <v>167</v>
      </c>
      <c r="E79" s="27" t="s">
        <v>135</v>
      </c>
      <c r="F79" s="28">
        <v>0</v>
      </c>
      <c r="G79" s="36">
        <v>3</v>
      </c>
      <c r="H79" s="31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B79" s="35">
        <v>19</v>
      </c>
      <c r="AC79" s="32">
        <v>0</v>
      </c>
      <c r="AD79" s="35">
        <v>1</v>
      </c>
      <c r="AE79" s="35">
        <v>1</v>
      </c>
      <c r="AF79" s="32">
        <v>0</v>
      </c>
      <c r="AG79" s="35">
        <v>2</v>
      </c>
    </row>
    <row r="80" spans="2:33" s="2" customFormat="1" ht="44.25" customHeight="1" x14ac:dyDescent="0.25">
      <c r="B80" s="30" t="s">
        <v>78</v>
      </c>
      <c r="C80" s="27" t="s">
        <v>93</v>
      </c>
      <c r="D80" s="27" t="s">
        <v>194</v>
      </c>
      <c r="E80" s="27" t="s">
        <v>136</v>
      </c>
      <c r="F80" s="28">
        <v>0</v>
      </c>
      <c r="G80" s="36">
        <v>2</v>
      </c>
      <c r="H80" s="31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B80" s="35">
        <v>16</v>
      </c>
      <c r="AC80" s="32">
        <v>0</v>
      </c>
      <c r="AD80" s="35">
        <v>1</v>
      </c>
      <c r="AE80" s="35">
        <v>1</v>
      </c>
      <c r="AF80" s="32">
        <v>0</v>
      </c>
      <c r="AG80" s="32">
        <v>0</v>
      </c>
    </row>
    <row r="81" spans="2:33" s="2" customFormat="1" ht="44.25" customHeight="1" x14ac:dyDescent="0.25">
      <c r="B81" s="30" t="s">
        <v>78</v>
      </c>
      <c r="C81" s="27" t="s">
        <v>93</v>
      </c>
      <c r="D81" s="27" t="s">
        <v>143</v>
      </c>
      <c r="E81" s="27" t="s">
        <v>122</v>
      </c>
      <c r="F81" s="28">
        <v>0</v>
      </c>
      <c r="G81" s="36">
        <v>3</v>
      </c>
      <c r="H81" s="31">
        <v>0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B81" s="35">
        <v>15</v>
      </c>
      <c r="AC81" s="32">
        <v>0</v>
      </c>
      <c r="AD81" s="35">
        <v>1</v>
      </c>
      <c r="AE81" s="35">
        <v>1</v>
      </c>
      <c r="AF81" s="32">
        <v>0</v>
      </c>
      <c r="AG81" s="35">
        <v>2</v>
      </c>
    </row>
    <row r="82" spans="2:33" s="2" customFormat="1" ht="44.25" customHeight="1" x14ac:dyDescent="0.25">
      <c r="B82" s="30" t="s">
        <v>78</v>
      </c>
      <c r="C82" s="27" t="s">
        <v>93</v>
      </c>
      <c r="D82" s="27" t="s">
        <v>94</v>
      </c>
      <c r="E82" s="27" t="s">
        <v>137</v>
      </c>
      <c r="F82" s="28">
        <v>0</v>
      </c>
      <c r="G82" s="36">
        <v>1</v>
      </c>
      <c r="H82" s="31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B82" s="35">
        <v>22</v>
      </c>
      <c r="AC82" s="35">
        <v>4</v>
      </c>
      <c r="AD82" s="35">
        <v>1</v>
      </c>
      <c r="AE82" s="35">
        <v>1</v>
      </c>
      <c r="AF82" s="32">
        <v>0</v>
      </c>
      <c r="AG82" s="35">
        <v>4</v>
      </c>
    </row>
    <row r="83" spans="2:33" s="2" customFormat="1" ht="49.5" customHeight="1" x14ac:dyDescent="0.25">
      <c r="B83" s="29" t="s">
        <v>78</v>
      </c>
      <c r="C83" s="27" t="s">
        <v>95</v>
      </c>
      <c r="D83" s="27" t="s">
        <v>193</v>
      </c>
      <c r="E83" s="27" t="s">
        <v>138</v>
      </c>
      <c r="F83" s="28">
        <v>0</v>
      </c>
      <c r="G83" s="31">
        <v>5</v>
      </c>
      <c r="H83" s="31">
        <v>1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B83" s="35">
        <v>8</v>
      </c>
      <c r="AC83" s="35">
        <v>2</v>
      </c>
      <c r="AD83" s="35">
        <v>1</v>
      </c>
      <c r="AE83" s="35">
        <v>1</v>
      </c>
      <c r="AF83" s="32">
        <v>0</v>
      </c>
      <c r="AG83" s="32">
        <v>0</v>
      </c>
    </row>
    <row r="84" spans="2:33" s="2" customFormat="1" ht="49.5" customHeight="1" x14ac:dyDescent="0.25">
      <c r="B84" s="29" t="s">
        <v>78</v>
      </c>
      <c r="C84" s="27" t="s">
        <v>95</v>
      </c>
      <c r="D84" s="27" t="s">
        <v>168</v>
      </c>
      <c r="E84" s="27" t="s">
        <v>138</v>
      </c>
      <c r="F84" s="28">
        <v>0</v>
      </c>
      <c r="G84" s="31">
        <v>1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58">
        <f>+AA85*1</f>
        <v>1029073110.9627131</v>
      </c>
      <c r="AB84" s="35">
        <v>12</v>
      </c>
      <c r="AC84" s="32">
        <v>0</v>
      </c>
      <c r="AD84" s="35">
        <v>1</v>
      </c>
      <c r="AE84" s="35">
        <v>1</v>
      </c>
      <c r="AF84" s="32">
        <v>0</v>
      </c>
      <c r="AG84" s="32">
        <v>0</v>
      </c>
    </row>
    <row r="85" spans="2:33" s="2" customFormat="1" ht="49.5" customHeight="1" x14ac:dyDescent="0.25">
      <c r="B85" s="29" t="s">
        <v>78</v>
      </c>
      <c r="C85" s="27" t="s">
        <v>95</v>
      </c>
      <c r="D85" s="27" t="s">
        <v>139</v>
      </c>
      <c r="E85" s="27" t="s">
        <v>197</v>
      </c>
      <c r="F85" s="28">
        <v>0</v>
      </c>
      <c r="G85" s="31">
        <v>2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58">
        <f>+(F86*F97)+(G86*G97)+(H86*H97)+(L86*L97)+(P86*P97)+(U86*U97)+(W86*W97)</f>
        <v>1029073110.9627131</v>
      </c>
      <c r="AB85" s="32">
        <v>0</v>
      </c>
      <c r="AC85" s="32">
        <v>0</v>
      </c>
      <c r="AD85" s="32">
        <v>0</v>
      </c>
      <c r="AE85" s="32">
        <v>0</v>
      </c>
      <c r="AF85" s="32">
        <v>0</v>
      </c>
      <c r="AG85" s="32">
        <v>0</v>
      </c>
    </row>
    <row r="86" spans="2:33" s="53" customFormat="1" ht="25.5" customHeight="1" x14ac:dyDescent="0.25">
      <c r="B86" s="165" t="s">
        <v>96</v>
      </c>
      <c r="C86" s="165"/>
      <c r="D86" s="165"/>
      <c r="E86" s="165"/>
      <c r="F86" s="85">
        <f t="shared" ref="F86:Z86" si="10">SUM(F58:F85)</f>
        <v>3</v>
      </c>
      <c r="G86" s="85">
        <f t="shared" si="10"/>
        <v>62</v>
      </c>
      <c r="H86" s="85">
        <f t="shared" si="10"/>
        <v>2</v>
      </c>
      <c r="I86" s="85">
        <f t="shared" si="10"/>
        <v>0</v>
      </c>
      <c r="J86" s="85">
        <f t="shared" si="10"/>
        <v>0</v>
      </c>
      <c r="K86" s="85">
        <f t="shared" si="10"/>
        <v>0</v>
      </c>
      <c r="L86" s="85">
        <f t="shared" si="10"/>
        <v>1</v>
      </c>
      <c r="M86" s="85">
        <f t="shared" si="10"/>
        <v>0</v>
      </c>
      <c r="N86" s="85">
        <f t="shared" si="10"/>
        <v>0</v>
      </c>
      <c r="O86" s="85">
        <f t="shared" si="10"/>
        <v>0</v>
      </c>
      <c r="P86" s="85">
        <f t="shared" si="10"/>
        <v>2</v>
      </c>
      <c r="Q86" s="85">
        <f t="shared" si="10"/>
        <v>0</v>
      </c>
      <c r="R86" s="85">
        <f t="shared" si="10"/>
        <v>0</v>
      </c>
      <c r="S86" s="85">
        <f t="shared" si="10"/>
        <v>0</v>
      </c>
      <c r="T86" s="85">
        <f t="shared" si="10"/>
        <v>0</v>
      </c>
      <c r="U86" s="85">
        <f t="shared" si="10"/>
        <v>1</v>
      </c>
      <c r="V86" s="85">
        <f t="shared" si="10"/>
        <v>0</v>
      </c>
      <c r="W86" s="85">
        <f t="shared" si="10"/>
        <v>1</v>
      </c>
      <c r="X86" s="85">
        <f t="shared" si="10"/>
        <v>0</v>
      </c>
      <c r="Y86" s="85">
        <f t="shared" si="10"/>
        <v>0</v>
      </c>
      <c r="Z86" s="85">
        <f t="shared" si="10"/>
        <v>0</v>
      </c>
      <c r="AA86" s="86">
        <f>SUM(F86:Z86)</f>
        <v>72</v>
      </c>
      <c r="AB86" s="89">
        <f t="shared" ref="AB86:AG86" si="11">SUM(AB58:AB85)</f>
        <v>377</v>
      </c>
      <c r="AC86" s="89">
        <f t="shared" si="11"/>
        <v>34</v>
      </c>
      <c r="AD86" s="89">
        <f t="shared" si="11"/>
        <v>23</v>
      </c>
      <c r="AE86" s="89">
        <f t="shared" si="11"/>
        <v>23</v>
      </c>
      <c r="AF86" s="89">
        <f t="shared" si="11"/>
        <v>10</v>
      </c>
      <c r="AG86" s="89">
        <f t="shared" si="11"/>
        <v>41</v>
      </c>
    </row>
    <row r="87" spans="2:33" s="54" customFormat="1" ht="6" customHeight="1" x14ac:dyDescent="0.25">
      <c r="B87" s="55"/>
      <c r="C87" s="55"/>
      <c r="D87" s="55"/>
      <c r="E87" s="55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7"/>
    </row>
    <row r="88" spans="2:33" s="4" customFormat="1" ht="35.25" customHeight="1" x14ac:dyDescent="0.25">
      <c r="B88" s="3"/>
      <c r="C88" s="3"/>
      <c r="D88" s="3"/>
      <c r="E88" s="90" t="s">
        <v>97</v>
      </c>
      <c r="F88" s="91">
        <f t="shared" ref="F88:Z88" si="12">+F12+F18+F33+F49+F57+F86</f>
        <v>9</v>
      </c>
      <c r="G88" s="91">
        <f t="shared" si="12"/>
        <v>174</v>
      </c>
      <c r="H88" s="91">
        <f t="shared" si="12"/>
        <v>7</v>
      </c>
      <c r="I88" s="91">
        <f t="shared" si="12"/>
        <v>0</v>
      </c>
      <c r="J88" s="91">
        <f t="shared" si="12"/>
        <v>0</v>
      </c>
      <c r="K88" s="91">
        <f t="shared" si="12"/>
        <v>0</v>
      </c>
      <c r="L88" s="91">
        <f t="shared" si="12"/>
        <v>2</v>
      </c>
      <c r="M88" s="91">
        <f t="shared" si="12"/>
        <v>1</v>
      </c>
      <c r="N88" s="91">
        <f t="shared" si="12"/>
        <v>0</v>
      </c>
      <c r="O88" s="91">
        <f t="shared" si="12"/>
        <v>0</v>
      </c>
      <c r="P88" s="91">
        <f t="shared" si="12"/>
        <v>7</v>
      </c>
      <c r="Q88" s="91">
        <f t="shared" si="12"/>
        <v>4</v>
      </c>
      <c r="R88" s="91">
        <f t="shared" si="12"/>
        <v>0</v>
      </c>
      <c r="S88" s="91">
        <f t="shared" si="12"/>
        <v>0</v>
      </c>
      <c r="T88" s="91">
        <f t="shared" si="12"/>
        <v>0</v>
      </c>
      <c r="U88" s="91">
        <f t="shared" si="12"/>
        <v>1</v>
      </c>
      <c r="V88" s="91">
        <f t="shared" si="12"/>
        <v>2</v>
      </c>
      <c r="W88" s="91">
        <f t="shared" si="12"/>
        <v>1</v>
      </c>
      <c r="X88" s="91">
        <f t="shared" si="12"/>
        <v>1</v>
      </c>
      <c r="Y88" s="91">
        <f t="shared" si="12"/>
        <v>2</v>
      </c>
      <c r="Z88" s="91">
        <f t="shared" si="12"/>
        <v>0</v>
      </c>
      <c r="AA88" s="51">
        <f>+AA12+AA18+AA33+AA49+AA57+AA86</f>
        <v>211</v>
      </c>
      <c r="AB88" s="92">
        <f t="shared" ref="AB88:AG88" si="13">+AB12+AB18+AB33+AB49+AB57+AB86</f>
        <v>888</v>
      </c>
      <c r="AC88" s="92">
        <f t="shared" si="13"/>
        <v>99</v>
      </c>
      <c r="AD88" s="92">
        <f t="shared" si="13"/>
        <v>63</v>
      </c>
      <c r="AE88" s="92">
        <f t="shared" si="13"/>
        <v>61</v>
      </c>
      <c r="AF88" s="92">
        <f t="shared" si="13"/>
        <v>17</v>
      </c>
      <c r="AG88" s="92">
        <f t="shared" si="13"/>
        <v>94</v>
      </c>
    </row>
    <row r="89" spans="2:33" s="4" customFormat="1" ht="20.25" customHeight="1" x14ac:dyDescent="0.25">
      <c r="B89" s="3"/>
      <c r="C89" s="5"/>
      <c r="D89" s="5"/>
      <c r="E89" s="65" t="s">
        <v>98</v>
      </c>
      <c r="F89" s="66">
        <v>3</v>
      </c>
      <c r="G89" s="66">
        <v>3</v>
      </c>
      <c r="H89" s="66">
        <v>3</v>
      </c>
      <c r="I89" s="66">
        <v>3</v>
      </c>
      <c r="J89" s="66">
        <v>3</v>
      </c>
      <c r="K89" s="66">
        <v>3</v>
      </c>
      <c r="L89" s="66">
        <v>2</v>
      </c>
      <c r="M89" s="66">
        <v>2</v>
      </c>
      <c r="N89" s="66">
        <v>2</v>
      </c>
      <c r="O89" s="66">
        <v>1.5</v>
      </c>
      <c r="P89" s="67">
        <v>1.5</v>
      </c>
      <c r="Q89" s="67">
        <v>1.5</v>
      </c>
      <c r="R89" s="66">
        <v>1.5</v>
      </c>
      <c r="S89" s="66">
        <v>1.5</v>
      </c>
      <c r="T89" s="66">
        <v>1.5</v>
      </c>
      <c r="U89" s="66">
        <v>1</v>
      </c>
      <c r="V89" s="66">
        <v>1</v>
      </c>
      <c r="W89" s="66">
        <v>1</v>
      </c>
      <c r="X89" s="66">
        <v>1</v>
      </c>
      <c r="Y89" s="66">
        <v>1</v>
      </c>
      <c r="Z89" s="66">
        <v>1</v>
      </c>
      <c r="AA89" s="52"/>
    </row>
    <row r="90" spans="2:33" s="4" customFormat="1" ht="20.25" customHeight="1" x14ac:dyDescent="0.25">
      <c r="B90" s="3"/>
      <c r="C90" s="5"/>
      <c r="D90" s="5"/>
      <c r="E90" s="65" t="s">
        <v>99</v>
      </c>
      <c r="F90" s="66">
        <f>F89*F88</f>
        <v>27</v>
      </c>
      <c r="G90" s="66">
        <f t="shared" ref="G90:Z90" si="14">G89*G88</f>
        <v>522</v>
      </c>
      <c r="H90" s="66">
        <f t="shared" si="14"/>
        <v>21</v>
      </c>
      <c r="I90" s="66">
        <f t="shared" si="14"/>
        <v>0</v>
      </c>
      <c r="J90" s="66">
        <f t="shared" si="14"/>
        <v>0</v>
      </c>
      <c r="K90" s="66">
        <f t="shared" si="14"/>
        <v>0</v>
      </c>
      <c r="L90" s="66">
        <f t="shared" si="14"/>
        <v>4</v>
      </c>
      <c r="M90" s="66">
        <f t="shared" si="14"/>
        <v>2</v>
      </c>
      <c r="N90" s="66">
        <f t="shared" si="14"/>
        <v>0</v>
      </c>
      <c r="O90" s="66">
        <f t="shared" si="14"/>
        <v>0</v>
      </c>
      <c r="P90" s="67">
        <f t="shared" si="14"/>
        <v>10.5</v>
      </c>
      <c r="Q90" s="67">
        <f t="shared" si="14"/>
        <v>6</v>
      </c>
      <c r="R90" s="67">
        <f t="shared" si="14"/>
        <v>0</v>
      </c>
      <c r="S90" s="67">
        <f t="shared" si="14"/>
        <v>0</v>
      </c>
      <c r="T90" s="67">
        <f t="shared" si="14"/>
        <v>0</v>
      </c>
      <c r="U90" s="66">
        <f t="shared" si="14"/>
        <v>1</v>
      </c>
      <c r="V90" s="66">
        <f t="shared" si="14"/>
        <v>2</v>
      </c>
      <c r="W90" s="66">
        <f t="shared" si="14"/>
        <v>1</v>
      </c>
      <c r="X90" s="66">
        <f t="shared" si="14"/>
        <v>1</v>
      </c>
      <c r="Y90" s="66">
        <f t="shared" si="14"/>
        <v>2</v>
      </c>
      <c r="Z90" s="66">
        <f t="shared" si="14"/>
        <v>0</v>
      </c>
      <c r="AA90" s="51"/>
    </row>
    <row r="91" spans="2:33" s="4" customFormat="1" ht="35.25" customHeight="1" x14ac:dyDescent="0.25">
      <c r="B91" s="3"/>
      <c r="C91" s="5"/>
      <c r="D91" s="5"/>
      <c r="E91" s="65" t="s">
        <v>100</v>
      </c>
      <c r="F91" s="68">
        <v>3000</v>
      </c>
      <c r="G91" s="68">
        <f>$F$91</f>
        <v>3000</v>
      </c>
      <c r="H91" s="68">
        <f t="shared" ref="H91:Z91" si="15">$F$91</f>
        <v>3000</v>
      </c>
      <c r="I91" s="68">
        <f t="shared" si="15"/>
        <v>3000</v>
      </c>
      <c r="J91" s="68">
        <f t="shared" si="15"/>
        <v>3000</v>
      </c>
      <c r="K91" s="68">
        <f t="shared" si="15"/>
        <v>3000</v>
      </c>
      <c r="L91" s="68">
        <f t="shared" si="15"/>
        <v>3000</v>
      </c>
      <c r="M91" s="68">
        <f t="shared" si="15"/>
        <v>3000</v>
      </c>
      <c r="N91" s="68">
        <f t="shared" si="15"/>
        <v>3000</v>
      </c>
      <c r="O91" s="68">
        <f t="shared" si="15"/>
        <v>3000</v>
      </c>
      <c r="P91" s="68">
        <f t="shared" si="15"/>
        <v>3000</v>
      </c>
      <c r="Q91" s="68">
        <f t="shared" si="15"/>
        <v>3000</v>
      </c>
      <c r="R91" s="68">
        <f t="shared" si="15"/>
        <v>3000</v>
      </c>
      <c r="S91" s="68">
        <f t="shared" si="15"/>
        <v>3000</v>
      </c>
      <c r="T91" s="68">
        <f t="shared" si="15"/>
        <v>3000</v>
      </c>
      <c r="U91" s="68">
        <f t="shared" si="15"/>
        <v>3000</v>
      </c>
      <c r="V91" s="68">
        <f t="shared" si="15"/>
        <v>3000</v>
      </c>
      <c r="W91" s="68">
        <f t="shared" si="15"/>
        <v>3000</v>
      </c>
      <c r="X91" s="68">
        <f t="shared" si="15"/>
        <v>3000</v>
      </c>
      <c r="Y91" s="68">
        <f t="shared" si="15"/>
        <v>3000</v>
      </c>
      <c r="Z91" s="68">
        <f t="shared" si="15"/>
        <v>3000</v>
      </c>
      <c r="AA91" s="6"/>
    </row>
    <row r="92" spans="2:33" s="4" customFormat="1" ht="37.5" customHeight="1" x14ac:dyDescent="0.25">
      <c r="B92" s="3"/>
      <c r="C92" s="5"/>
      <c r="D92" s="5"/>
      <c r="E92" s="69" t="s">
        <v>101</v>
      </c>
      <c r="F92" s="70">
        <f>F91*F90</f>
        <v>81000</v>
      </c>
      <c r="G92" s="70">
        <f t="shared" ref="G92:Z92" si="16">G91*G90</f>
        <v>1566000</v>
      </c>
      <c r="H92" s="70">
        <f t="shared" si="16"/>
        <v>63000</v>
      </c>
      <c r="I92" s="70">
        <f t="shared" si="16"/>
        <v>0</v>
      </c>
      <c r="J92" s="70">
        <f t="shared" si="16"/>
        <v>0</v>
      </c>
      <c r="K92" s="70">
        <f t="shared" si="16"/>
        <v>0</v>
      </c>
      <c r="L92" s="70">
        <f t="shared" si="16"/>
        <v>12000</v>
      </c>
      <c r="M92" s="70">
        <f t="shared" si="16"/>
        <v>6000</v>
      </c>
      <c r="N92" s="70">
        <f t="shared" si="16"/>
        <v>0</v>
      </c>
      <c r="O92" s="70">
        <f t="shared" si="16"/>
        <v>0</v>
      </c>
      <c r="P92" s="70">
        <f t="shared" si="16"/>
        <v>31500</v>
      </c>
      <c r="Q92" s="70">
        <f t="shared" si="16"/>
        <v>18000</v>
      </c>
      <c r="R92" s="70">
        <f t="shared" si="16"/>
        <v>0</v>
      </c>
      <c r="S92" s="70">
        <f t="shared" si="16"/>
        <v>0</v>
      </c>
      <c r="T92" s="70">
        <f t="shared" si="16"/>
        <v>0</v>
      </c>
      <c r="U92" s="70">
        <f t="shared" si="16"/>
        <v>3000</v>
      </c>
      <c r="V92" s="70">
        <f t="shared" si="16"/>
        <v>6000</v>
      </c>
      <c r="W92" s="70">
        <f t="shared" si="16"/>
        <v>3000</v>
      </c>
      <c r="X92" s="70">
        <f t="shared" si="16"/>
        <v>3000</v>
      </c>
      <c r="Y92" s="70">
        <f t="shared" si="16"/>
        <v>6000</v>
      </c>
      <c r="Z92" s="70">
        <f t="shared" si="16"/>
        <v>0</v>
      </c>
      <c r="AA92" s="50"/>
    </row>
    <row r="94" spans="2:33" ht="20.25" customHeight="1" x14ac:dyDescent="0.25">
      <c r="C94" s="12"/>
      <c r="D94" s="12"/>
      <c r="E94" s="47" t="s">
        <v>102</v>
      </c>
      <c r="F94" s="45">
        <f>((9.53*1423500)+(500*3))</f>
        <v>13567455</v>
      </c>
      <c r="G94" s="45">
        <f>(9.53*1423500+(500*3))</f>
        <v>13567455</v>
      </c>
      <c r="H94" s="45">
        <f>(9.53*1423500+(500*3))</f>
        <v>13567455</v>
      </c>
      <c r="I94" s="45">
        <f>(9.29*1423500+(500*3))</f>
        <v>13225814.999999998</v>
      </c>
      <c r="J94" s="45">
        <f>(9.29*1423500+(500*3))/30*20</f>
        <v>8817209.9999999981</v>
      </c>
      <c r="K94" s="45">
        <f>(9.29*1423500+(500*3))/30*24</f>
        <v>10580651.999999998</v>
      </c>
      <c r="L94" s="45">
        <f>(((9.53*1423500+(500*3))*55.97%)+((9.53*1423500+(500*3))*44.03%/9*1))</f>
        <v>8257454.6119999997</v>
      </c>
      <c r="M94" s="45">
        <f>(((9.53*1423500+(500*3))*55.97%)+((9.53*1423500+(500*3))*44.03%/9*1))/30*20</f>
        <v>5504969.7413333328</v>
      </c>
      <c r="N94" s="45">
        <f>(((9.29*1423500+(500*3))*55.97%)+((9.29*1423500+(500*3))*44.03%/9*1))/30*24</f>
        <v>6439619.9327999987</v>
      </c>
      <c r="O94" s="45">
        <f>((9.53*1423500+(500*3))*55.97%/15*12)</f>
        <v>6074963.650799999</v>
      </c>
      <c r="P94" s="45">
        <f>((9.53*1423500+(500*3))*55.97%/15*12)/30*20</f>
        <v>4049975.7671999997</v>
      </c>
      <c r="Q94" s="45">
        <f>((9.53*1423500+(500*3))*55.97%/15*12)/30*24</f>
        <v>4859970.9206399992</v>
      </c>
      <c r="R94" s="45">
        <f>(((9.29*1423500+(500*3))*55.97%/15*3)+((9.29*1423500+(500*3))*44.03%/9*9))</f>
        <v>7303824.0755999992</v>
      </c>
      <c r="S94" s="45">
        <f>((((9.29*1423500+(500*3))*55.97%/15*3)+((9.29*1423500+(500*3))*44.03%/9*9))/30)*24</f>
        <v>5843059.2604799997</v>
      </c>
      <c r="T94" s="45">
        <f>(((9.29*1423500+(500*3))*55.97%/15*3)+((9.29*1423500+(500*3))*44.03%/9*9))</f>
        <v>7303824.0755999992</v>
      </c>
      <c r="U94" s="45">
        <f>((9.53*1423500+(500*3))*44.03%/9*8)</f>
        <v>5310000.3880000003</v>
      </c>
      <c r="V94" s="45">
        <f>((9.53*1423500+(500*3))*44.03%/9*8)</f>
        <v>5310000.3880000003</v>
      </c>
      <c r="W94" s="45">
        <f>(9.53*1423500+(500*3))*44.03%/9*8/30*20</f>
        <v>3540000.2586666672</v>
      </c>
      <c r="X94" s="45">
        <f>(9.53*1423500+(500*3))*55.97%/15*8/30*24</f>
        <v>3239980.6137599992</v>
      </c>
      <c r="Y94" s="45">
        <f>(9.53*1423500+(500*3))*55.97%/15*8/30*20</f>
        <v>2699983.8447999996</v>
      </c>
      <c r="Z94" s="45">
        <f>((9.53*1423500+(500*3))*55.97%/15*8)</f>
        <v>4049975.7671999997</v>
      </c>
      <c r="AB94" s="45">
        <v>11227</v>
      </c>
      <c r="AC94" s="45">
        <v>43635</v>
      </c>
      <c r="AD94" s="45">
        <v>55898</v>
      </c>
      <c r="AE94" s="45">
        <v>40588</v>
      </c>
      <c r="AF94" s="45">
        <v>127990</v>
      </c>
      <c r="AG94" s="45">
        <v>43069</v>
      </c>
    </row>
    <row r="95" spans="2:33" ht="20.25" customHeight="1" x14ac:dyDescent="0.25">
      <c r="C95" s="12"/>
      <c r="D95" s="12"/>
      <c r="E95" s="47" t="s">
        <v>103</v>
      </c>
      <c r="F95" s="45">
        <f>+F94*0.1</f>
        <v>1356745.5</v>
      </c>
      <c r="G95" s="45">
        <f>+G94*0.08</f>
        <v>1085396.3999999999</v>
      </c>
      <c r="H95" s="45">
        <f t="shared" ref="H95:Z95" si="17">+H94*0.08</f>
        <v>1085396.3999999999</v>
      </c>
      <c r="I95" s="45">
        <f>+I94*0.11</f>
        <v>1454839.65</v>
      </c>
      <c r="J95" s="45">
        <f t="shared" si="17"/>
        <v>705376.79999999981</v>
      </c>
      <c r="K95" s="45">
        <f t="shared" si="17"/>
        <v>846452.15999999992</v>
      </c>
      <c r="L95" s="45">
        <f t="shared" si="17"/>
        <v>660596.36895999999</v>
      </c>
      <c r="M95" s="45">
        <f t="shared" si="17"/>
        <v>440397.57930666662</v>
      </c>
      <c r="N95" s="45">
        <f t="shared" si="17"/>
        <v>515169.5946239999</v>
      </c>
      <c r="O95" s="45">
        <f t="shared" si="17"/>
        <v>485997.09206399991</v>
      </c>
      <c r="P95" s="45">
        <f t="shared" si="17"/>
        <v>323998.061376</v>
      </c>
      <c r="Q95" s="45">
        <f t="shared" si="17"/>
        <v>388797.67365119996</v>
      </c>
      <c r="R95" s="45">
        <f t="shared" si="17"/>
        <v>584305.92604799999</v>
      </c>
      <c r="S95" s="45">
        <f t="shared" si="17"/>
        <v>467444.74083839997</v>
      </c>
      <c r="T95" s="45">
        <f>+T94*0.1</f>
        <v>730382.40755999996</v>
      </c>
      <c r="U95" s="45">
        <f>+U94*0.1</f>
        <v>531000.0388000001</v>
      </c>
      <c r="V95" s="45">
        <f t="shared" si="17"/>
        <v>424800.03104000003</v>
      </c>
      <c r="W95" s="45">
        <f t="shared" si="17"/>
        <v>283200.02069333335</v>
      </c>
      <c r="X95" s="45">
        <f t="shared" si="17"/>
        <v>259198.44910079995</v>
      </c>
      <c r="Y95" s="45">
        <f t="shared" si="17"/>
        <v>215998.70758399996</v>
      </c>
      <c r="Z95" s="45">
        <f t="shared" si="17"/>
        <v>323998.061376</v>
      </c>
      <c r="AB95" s="45">
        <v>0</v>
      </c>
      <c r="AC95" s="45">
        <v>0</v>
      </c>
      <c r="AD95" s="45">
        <v>0</v>
      </c>
      <c r="AE95" s="45">
        <v>0</v>
      </c>
      <c r="AF95" s="45">
        <v>0</v>
      </c>
      <c r="AG95" s="45">
        <v>0</v>
      </c>
    </row>
    <row r="96" spans="2:33" ht="20.25" customHeight="1" x14ac:dyDescent="0.25">
      <c r="C96" s="12"/>
      <c r="D96" s="12"/>
      <c r="E96" s="47" t="s">
        <v>104</v>
      </c>
      <c r="F96" s="45">
        <f>+(F94+F95)*0.019</f>
        <v>283559.80949999997</v>
      </c>
      <c r="G96" s="45">
        <f t="shared" ref="G96:Z96" si="18">+(G94+G95)*0.019</f>
        <v>278404.17660000001</v>
      </c>
      <c r="H96" s="45">
        <f t="shared" si="18"/>
        <v>278404.17660000001</v>
      </c>
      <c r="I96" s="45">
        <f t="shared" si="18"/>
        <v>278932.43834999995</v>
      </c>
      <c r="J96" s="45">
        <f t="shared" si="18"/>
        <v>180929.14919999993</v>
      </c>
      <c r="K96" s="45">
        <f t="shared" si="18"/>
        <v>217114.97903999998</v>
      </c>
      <c r="L96" s="45">
        <f t="shared" si="18"/>
        <v>169442.96863824001</v>
      </c>
      <c r="M96" s="45">
        <f t="shared" si="18"/>
        <v>112961.97909215999</v>
      </c>
      <c r="N96" s="45">
        <f t="shared" si="18"/>
        <v>132141.00102105597</v>
      </c>
      <c r="O96" s="45">
        <f t="shared" si="18"/>
        <v>124658.25411441598</v>
      </c>
      <c r="P96" s="45">
        <f t="shared" si="18"/>
        <v>83105.502742943994</v>
      </c>
      <c r="Q96" s="45">
        <f t="shared" si="18"/>
        <v>99726.603291532781</v>
      </c>
      <c r="R96" s="45">
        <f t="shared" si="18"/>
        <v>149874.470031312</v>
      </c>
      <c r="S96" s="45">
        <f t="shared" si="18"/>
        <v>119899.5760250496</v>
      </c>
      <c r="T96" s="45">
        <f t="shared" si="18"/>
        <v>152649.92318003997</v>
      </c>
      <c r="U96" s="45">
        <f t="shared" si="18"/>
        <v>110979.0081092</v>
      </c>
      <c r="V96" s="45">
        <f t="shared" si="18"/>
        <v>108961.20796176</v>
      </c>
      <c r="W96" s="45">
        <f t="shared" si="18"/>
        <v>72640.805307840012</v>
      </c>
      <c r="X96" s="45">
        <f t="shared" si="18"/>
        <v>66484.402194355178</v>
      </c>
      <c r="Y96" s="45">
        <f t="shared" si="18"/>
        <v>55403.668495295984</v>
      </c>
      <c r="Z96" s="45">
        <f t="shared" si="18"/>
        <v>83105.502742943994</v>
      </c>
      <c r="AB96" s="45">
        <f>+AB94*0.19</f>
        <v>2133.13</v>
      </c>
      <c r="AC96" s="45">
        <f t="shared" ref="AC96:AG96" si="19">+AC94*0.19</f>
        <v>8290.65</v>
      </c>
      <c r="AD96" s="45">
        <f t="shared" si="19"/>
        <v>10620.62</v>
      </c>
      <c r="AE96" s="45">
        <f t="shared" si="19"/>
        <v>7711.72</v>
      </c>
      <c r="AF96" s="45">
        <f t="shared" si="19"/>
        <v>24318.1</v>
      </c>
      <c r="AG96" s="45">
        <f t="shared" si="19"/>
        <v>8183.11</v>
      </c>
    </row>
    <row r="97" spans="2:33" ht="20.25" customHeight="1" x14ac:dyDescent="0.25">
      <c r="C97" s="12"/>
      <c r="D97" s="12"/>
      <c r="E97" s="48" t="s">
        <v>105</v>
      </c>
      <c r="F97" s="49">
        <f>+F94+F95+F96</f>
        <v>15207760.3095</v>
      </c>
      <c r="G97" s="49">
        <f>+G94+G95+G96</f>
        <v>14931255.5766</v>
      </c>
      <c r="H97" s="49">
        <f t="shared" ref="H97:Z97" si="20">+H94+H95+H96</f>
        <v>14931255.5766</v>
      </c>
      <c r="I97" s="49">
        <f t="shared" si="20"/>
        <v>14959587.088349998</v>
      </c>
      <c r="J97" s="49">
        <f t="shared" si="20"/>
        <v>9703515.9491999969</v>
      </c>
      <c r="K97" s="49">
        <f t="shared" si="20"/>
        <v>11644219.139039999</v>
      </c>
      <c r="L97" s="49">
        <f>+L94+L95+L96</f>
        <v>9087493.9495982397</v>
      </c>
      <c r="M97" s="49">
        <f t="shared" si="20"/>
        <v>6058329.2997321598</v>
      </c>
      <c r="N97" s="49">
        <f t="shared" si="20"/>
        <v>7086930.5284450538</v>
      </c>
      <c r="O97" s="49">
        <f t="shared" si="20"/>
        <v>6685618.9969784152</v>
      </c>
      <c r="P97" s="49">
        <f t="shared" si="20"/>
        <v>4457079.3313189438</v>
      </c>
      <c r="Q97" s="49">
        <f t="shared" si="20"/>
        <v>5348495.197582732</v>
      </c>
      <c r="R97" s="49">
        <f t="shared" si="20"/>
        <v>8038004.4716793112</v>
      </c>
      <c r="S97" s="49">
        <f t="shared" si="20"/>
        <v>6430403.577343449</v>
      </c>
      <c r="T97" s="49">
        <f t="shared" si="20"/>
        <v>8186856.4063400393</v>
      </c>
      <c r="U97" s="49">
        <f t="shared" si="20"/>
        <v>5951979.4349092003</v>
      </c>
      <c r="V97" s="49">
        <f t="shared" si="20"/>
        <v>5843761.6270017605</v>
      </c>
      <c r="W97" s="49">
        <f t="shared" si="20"/>
        <v>3895841.0846678405</v>
      </c>
      <c r="X97" s="49">
        <f t="shared" si="20"/>
        <v>3565663.4650551542</v>
      </c>
      <c r="Y97" s="49">
        <f t="shared" si="20"/>
        <v>2971386.2208792954</v>
      </c>
      <c r="Z97" s="49">
        <f t="shared" si="20"/>
        <v>4457079.3313189438</v>
      </c>
      <c r="AB97" s="44">
        <f>+AB94+AB96</f>
        <v>13360.130000000001</v>
      </c>
      <c r="AC97" s="44">
        <f t="shared" ref="AC97:AG97" si="21">+AC94+AC96</f>
        <v>51925.65</v>
      </c>
      <c r="AD97" s="44">
        <f t="shared" si="21"/>
        <v>66518.62</v>
      </c>
      <c r="AE97" s="44">
        <f t="shared" si="21"/>
        <v>48299.72</v>
      </c>
      <c r="AF97" s="44">
        <f t="shared" si="21"/>
        <v>152308.1</v>
      </c>
      <c r="AG97" s="44">
        <f t="shared" si="21"/>
        <v>51252.11</v>
      </c>
    </row>
    <row r="99" spans="2:33" ht="18" customHeight="1" x14ac:dyDescent="0.25">
      <c r="C99" s="12"/>
      <c r="D99" s="12"/>
      <c r="E99" s="74" t="s">
        <v>106</v>
      </c>
      <c r="F99" s="75">
        <f>(F88)*(F$94+F$95)</f>
        <v>134317804.5</v>
      </c>
      <c r="G99" s="75">
        <f>+(G88)*(G$94+G$95)</f>
        <v>2549596143.5999999</v>
      </c>
      <c r="H99" s="75">
        <f>+H88*(H$94+H$95)</f>
        <v>102569959.8</v>
      </c>
      <c r="I99" s="75">
        <f t="shared" ref="I99:Z99" si="22">+I88*(I$94+I$95)</f>
        <v>0</v>
      </c>
      <c r="J99" s="75">
        <f t="shared" si="22"/>
        <v>0</v>
      </c>
      <c r="K99" s="75">
        <f t="shared" si="22"/>
        <v>0</v>
      </c>
      <c r="L99" s="75">
        <f t="shared" si="22"/>
        <v>17836101.961920001</v>
      </c>
      <c r="M99" s="75">
        <f>+M88*(M$94+M$95)</f>
        <v>5945367.3206399996</v>
      </c>
      <c r="N99" s="75">
        <f t="shared" si="22"/>
        <v>0</v>
      </c>
      <c r="O99" s="75">
        <f t="shared" si="22"/>
        <v>0</v>
      </c>
      <c r="P99" s="75">
        <f t="shared" si="22"/>
        <v>30617816.800031997</v>
      </c>
      <c r="Q99" s="75">
        <f t="shared" si="22"/>
        <v>20995074.377164796</v>
      </c>
      <c r="R99" s="75">
        <f t="shared" si="22"/>
        <v>0</v>
      </c>
      <c r="S99" s="75">
        <f t="shared" si="22"/>
        <v>0</v>
      </c>
      <c r="T99" s="75">
        <f t="shared" si="22"/>
        <v>0</v>
      </c>
      <c r="U99" s="75">
        <f t="shared" si="22"/>
        <v>5841000.4268000005</v>
      </c>
      <c r="V99" s="75">
        <f t="shared" si="22"/>
        <v>11469600.83808</v>
      </c>
      <c r="W99" s="75">
        <f t="shared" si="22"/>
        <v>3823200.2793600005</v>
      </c>
      <c r="X99" s="75">
        <f t="shared" si="22"/>
        <v>3499179.062860799</v>
      </c>
      <c r="Y99" s="75">
        <f t="shared" si="22"/>
        <v>5831965.1047679987</v>
      </c>
      <c r="Z99" s="75">
        <f t="shared" si="22"/>
        <v>0</v>
      </c>
      <c r="AA99" s="10"/>
      <c r="AB99" s="76">
        <f>+AB88*(AB94+AB95)</f>
        <v>9969576</v>
      </c>
      <c r="AC99" s="76">
        <f t="shared" ref="AC99:AG99" si="23">+AC88*(AC94+AC95)</f>
        <v>4319865</v>
      </c>
      <c r="AD99" s="76">
        <f t="shared" si="23"/>
        <v>3521574</v>
      </c>
      <c r="AE99" s="76">
        <f t="shared" si="23"/>
        <v>2475868</v>
      </c>
      <c r="AF99" s="76">
        <f t="shared" si="23"/>
        <v>2175830</v>
      </c>
      <c r="AG99" s="76">
        <f t="shared" si="23"/>
        <v>4048486</v>
      </c>
    </row>
    <row r="100" spans="2:33" s="12" customFormat="1" ht="18" customHeight="1" x14ac:dyDescent="0.25">
      <c r="E100" s="74" t="s">
        <v>107</v>
      </c>
      <c r="F100" s="75">
        <f>(F$96*F88)</f>
        <v>2552038.2854999998</v>
      </c>
      <c r="G100" s="75">
        <f>(G$96)*(G88)</f>
        <v>48442326.728399999</v>
      </c>
      <c r="H100" s="75">
        <f t="shared" ref="H100:Z100" si="24">(H$96*H88)</f>
        <v>1948829.2362000002</v>
      </c>
      <c r="I100" s="75">
        <f t="shared" si="24"/>
        <v>0</v>
      </c>
      <c r="J100" s="75">
        <f t="shared" si="24"/>
        <v>0</v>
      </c>
      <c r="K100" s="75">
        <f t="shared" si="24"/>
        <v>0</v>
      </c>
      <c r="L100" s="75">
        <f t="shared" si="24"/>
        <v>338885.93727648002</v>
      </c>
      <c r="M100" s="75">
        <f t="shared" si="24"/>
        <v>112961.97909215999</v>
      </c>
      <c r="N100" s="75">
        <f t="shared" si="24"/>
        <v>0</v>
      </c>
      <c r="O100" s="75">
        <f t="shared" si="24"/>
        <v>0</v>
      </c>
      <c r="P100" s="75">
        <f t="shared" si="24"/>
        <v>581738.5192006079</v>
      </c>
      <c r="Q100" s="75">
        <f t="shared" si="24"/>
        <v>398906.41316613113</v>
      </c>
      <c r="R100" s="75">
        <f t="shared" si="24"/>
        <v>0</v>
      </c>
      <c r="S100" s="75">
        <f t="shared" si="24"/>
        <v>0</v>
      </c>
      <c r="T100" s="75">
        <f t="shared" si="24"/>
        <v>0</v>
      </c>
      <c r="U100" s="75">
        <f t="shared" si="24"/>
        <v>110979.0081092</v>
      </c>
      <c r="V100" s="75">
        <f t="shared" si="24"/>
        <v>217922.41592351999</v>
      </c>
      <c r="W100" s="75">
        <f t="shared" si="24"/>
        <v>72640.805307840012</v>
      </c>
      <c r="X100" s="75">
        <f t="shared" si="24"/>
        <v>66484.402194355178</v>
      </c>
      <c r="Y100" s="75">
        <f t="shared" si="24"/>
        <v>110807.33699059197</v>
      </c>
      <c r="Z100" s="75">
        <f t="shared" si="24"/>
        <v>0</v>
      </c>
      <c r="AA100" s="11"/>
      <c r="AB100" s="76">
        <f t="shared" ref="AB100:AG100" si="25">+ROUND(((AB12+AB18+AB33+AB49+AB57+AB86)*AB96),0)</f>
        <v>1894219</v>
      </c>
      <c r="AC100" s="76">
        <f t="shared" si="25"/>
        <v>820774</v>
      </c>
      <c r="AD100" s="76">
        <f t="shared" si="25"/>
        <v>669099</v>
      </c>
      <c r="AE100" s="76">
        <f t="shared" si="25"/>
        <v>470415</v>
      </c>
      <c r="AF100" s="76">
        <f t="shared" si="25"/>
        <v>413408</v>
      </c>
      <c r="AG100" s="76">
        <f t="shared" si="25"/>
        <v>769212</v>
      </c>
    </row>
    <row r="101" spans="2:33" s="12" customFormat="1" ht="18" customHeight="1" x14ac:dyDescent="0.25">
      <c r="B101" s="46"/>
      <c r="C101" s="46"/>
      <c r="D101" s="46"/>
      <c r="E101" s="73" t="s">
        <v>200</v>
      </c>
      <c r="F101" s="78">
        <f>+F99+F100</f>
        <v>136869842.78549999</v>
      </c>
      <c r="G101" s="78">
        <f>+G99+G100</f>
        <v>2598038470.3284001</v>
      </c>
      <c r="H101" s="78">
        <f t="shared" ref="H101:Y101" si="26">+H99+H100</f>
        <v>104518789.0362</v>
      </c>
      <c r="I101" s="78">
        <f t="shared" si="26"/>
        <v>0</v>
      </c>
      <c r="J101" s="78">
        <f t="shared" si="26"/>
        <v>0</v>
      </c>
      <c r="K101" s="78">
        <f t="shared" si="26"/>
        <v>0</v>
      </c>
      <c r="L101" s="78">
        <f t="shared" si="26"/>
        <v>18174987.899196479</v>
      </c>
      <c r="M101" s="78">
        <f>+M99+M100</f>
        <v>6058329.2997321598</v>
      </c>
      <c r="N101" s="78">
        <f t="shared" si="26"/>
        <v>0</v>
      </c>
      <c r="O101" s="78">
        <f t="shared" si="26"/>
        <v>0</v>
      </c>
      <c r="P101" s="78">
        <f t="shared" si="26"/>
        <v>31199555.319232605</v>
      </c>
      <c r="Q101" s="78">
        <f t="shared" si="26"/>
        <v>21393980.790330928</v>
      </c>
      <c r="R101" s="78">
        <f t="shared" si="26"/>
        <v>0</v>
      </c>
      <c r="S101" s="78">
        <f t="shared" si="26"/>
        <v>0</v>
      </c>
      <c r="T101" s="78">
        <f t="shared" si="26"/>
        <v>0</v>
      </c>
      <c r="U101" s="78">
        <f t="shared" si="26"/>
        <v>5951979.4349092003</v>
      </c>
      <c r="V101" s="78">
        <f t="shared" si="26"/>
        <v>11687523.254003521</v>
      </c>
      <c r="W101" s="78">
        <f t="shared" si="26"/>
        <v>3895841.0846678405</v>
      </c>
      <c r="X101" s="78">
        <f t="shared" si="26"/>
        <v>3565663.4650551542</v>
      </c>
      <c r="Y101" s="78">
        <f t="shared" si="26"/>
        <v>5942772.4417585908</v>
      </c>
      <c r="Z101" s="78">
        <f>+Z99+Z100</f>
        <v>0</v>
      </c>
      <c r="AA101" s="11"/>
      <c r="AB101" s="77">
        <f>+AB99+AB100</f>
        <v>11863795</v>
      </c>
      <c r="AC101" s="77">
        <f t="shared" ref="AC101:AG101" si="27">+AC99+AC100</f>
        <v>5140639</v>
      </c>
      <c r="AD101" s="77">
        <f t="shared" si="27"/>
        <v>4190673</v>
      </c>
      <c r="AE101" s="77">
        <f t="shared" si="27"/>
        <v>2946283</v>
      </c>
      <c r="AF101" s="77">
        <f t="shared" si="27"/>
        <v>2589238</v>
      </c>
      <c r="AG101" s="77">
        <f t="shared" si="27"/>
        <v>4817698</v>
      </c>
    </row>
    <row r="102" spans="2:33" ht="17.25" customHeight="1" x14ac:dyDescent="0.25">
      <c r="D102" s="13"/>
      <c r="E102" s="14"/>
      <c r="F102" s="15"/>
      <c r="G102" s="16"/>
      <c r="H102" s="16"/>
      <c r="I102" s="16"/>
      <c r="J102" s="16"/>
      <c r="K102" s="16"/>
      <c r="L102" s="16"/>
      <c r="M102" s="16"/>
      <c r="O102" s="17"/>
      <c r="W102" s="18"/>
      <c r="Y102" s="71"/>
      <c r="Z102" s="72"/>
      <c r="AA102" s="19"/>
      <c r="AB102" s="71"/>
      <c r="AC102" s="72"/>
    </row>
    <row r="103" spans="2:33" ht="31.5" x14ac:dyDescent="0.25">
      <c r="C103" s="79" t="s">
        <v>108</v>
      </c>
      <c r="D103" s="79" t="s">
        <v>109</v>
      </c>
    </row>
    <row r="104" spans="2:33" ht="22.5" customHeight="1" x14ac:dyDescent="0.25">
      <c r="C104" s="63">
        <f>+AA11+AA17+AA32+AA48+AA56+AA85</f>
        <v>2947297735.1389866</v>
      </c>
      <c r="D104" s="63">
        <f>SUM(AB101:AG101)</f>
        <v>31548326</v>
      </c>
    </row>
    <row r="105" spans="2:33" ht="27" customHeight="1" x14ac:dyDescent="0.25"/>
    <row r="106" spans="2:33" ht="31.5" customHeight="1" x14ac:dyDescent="0.25">
      <c r="C106" s="80" t="s">
        <v>0</v>
      </c>
      <c r="D106" s="80" t="s">
        <v>110</v>
      </c>
      <c r="E106" s="80" t="s">
        <v>111</v>
      </c>
      <c r="F106" s="80" t="s">
        <v>203</v>
      </c>
      <c r="G106" s="80" t="s">
        <v>112</v>
      </c>
      <c r="K106" s="20"/>
      <c r="L106" s="20"/>
      <c r="Y106" s="7"/>
    </row>
    <row r="107" spans="2:33" ht="20.25" customHeight="1" x14ac:dyDescent="0.25">
      <c r="C107" s="59" t="s">
        <v>113</v>
      </c>
      <c r="D107" s="60">
        <f>+AA11*1</f>
        <v>257397008.26725519</v>
      </c>
      <c r="E107" s="60">
        <f>+((AB12*AB97)+(AC12*AC97)+(AD12*AD97)+(AE12*AE97)+(AF12*AF97)+(AG12*AG97))*1</f>
        <v>2617733.4400000004</v>
      </c>
      <c r="F107" s="61">
        <f>+E107*0.052</f>
        <v>136122.13888000001</v>
      </c>
      <c r="G107" s="60">
        <f t="shared" ref="G107:G112" si="28">SUM(D107:F107)</f>
        <v>260150863.8461352</v>
      </c>
      <c r="K107" s="21"/>
      <c r="L107" s="20"/>
      <c r="Y107" s="7"/>
    </row>
    <row r="108" spans="2:33" ht="20.25" customHeight="1" x14ac:dyDescent="0.25">
      <c r="C108" s="59" t="s">
        <v>42</v>
      </c>
      <c r="D108" s="60">
        <f>+AA17*1</f>
        <v>328702190.35793042</v>
      </c>
      <c r="E108" s="60">
        <f>+((AB18*AB97)+(AC18*AC97)+(AD18*AD97)+(AE18*AE97)+(AF18*AF97)+(AG18*AG97))*1</f>
        <v>4847067.54</v>
      </c>
      <c r="F108" s="61">
        <f t="shared" ref="F108:F112" si="29">+E108*0.052</f>
        <v>252047.51207999999</v>
      </c>
      <c r="G108" s="60">
        <f t="shared" si="28"/>
        <v>333801305.41001046</v>
      </c>
      <c r="K108" s="21"/>
      <c r="L108" s="20"/>
      <c r="Y108" s="7"/>
    </row>
    <row r="109" spans="2:33" ht="20.25" customHeight="1" x14ac:dyDescent="0.25">
      <c r="C109" s="59" t="s">
        <v>50</v>
      </c>
      <c r="D109" s="60">
        <f>+AA32*1</f>
        <v>389822141.43716723</v>
      </c>
      <c r="E109" s="60">
        <f>+((AB33*AB97)+(AC33*AC97)+(AD33*AD97)+(AE33*AE97)+(AF33*AF97)+(AG33*AG97))*1</f>
        <v>4207146.2300000004</v>
      </c>
      <c r="F109" s="61">
        <f t="shared" si="29"/>
        <v>218771.60396000001</v>
      </c>
      <c r="G109" s="60">
        <f t="shared" si="28"/>
        <v>394248059.27112722</v>
      </c>
      <c r="K109" s="21"/>
      <c r="L109" s="20"/>
      <c r="Y109" s="7"/>
    </row>
    <row r="110" spans="2:33" ht="20.25" customHeight="1" x14ac:dyDescent="0.25">
      <c r="C110" s="59" t="s">
        <v>114</v>
      </c>
      <c r="D110" s="60">
        <f>+AA48*1</f>
        <v>466063123.24536371</v>
      </c>
      <c r="E110" s="60">
        <f>+((AB49*AB97)+(AC49*AC97)+(AD49*AD97)+(AE49*AE97)+(AF49*AF97)+(AG49*AG97))*1</f>
        <v>3706635.8</v>
      </c>
      <c r="F110" s="61">
        <f t="shared" si="29"/>
        <v>192745.06159999999</v>
      </c>
      <c r="G110" s="60">
        <f t="shared" si="28"/>
        <v>469962504.10696375</v>
      </c>
      <c r="K110" s="21"/>
      <c r="L110" s="20"/>
      <c r="Y110" s="7"/>
    </row>
    <row r="111" spans="2:33" ht="20.25" customHeight="1" x14ac:dyDescent="0.25">
      <c r="C111" s="59" t="s">
        <v>75</v>
      </c>
      <c r="D111" s="60">
        <f>+AA56*1</f>
        <v>476240160.86855686</v>
      </c>
      <c r="E111" s="60">
        <f>+((AB57*AB97)+(AC57*AC97)+(AD57*AD97)+(AE57*AE97)+(AF57*AF97)+(AG57*AG97))*1</f>
        <v>3102263.3600000003</v>
      </c>
      <c r="F111" s="61">
        <f t="shared" si="29"/>
        <v>161317.69472</v>
      </c>
      <c r="G111" s="60">
        <f t="shared" si="28"/>
        <v>479503741.92327684</v>
      </c>
      <c r="K111" s="21"/>
      <c r="L111" s="20"/>
      <c r="Y111" s="7"/>
    </row>
    <row r="112" spans="2:33" ht="20.25" customHeight="1" x14ac:dyDescent="0.25">
      <c r="C112" s="59" t="s">
        <v>78</v>
      </c>
      <c r="D112" s="60">
        <f>+AA85*1</f>
        <v>1029073110.9627131</v>
      </c>
      <c r="E112" s="60">
        <f>+((AB86*AB97)+(AC86*AC97)+(AD86*AD97)+(AE86*AE97)+(AF86*AF97)+(AG86*AG97))*1</f>
        <v>13067480.440000001</v>
      </c>
      <c r="F112" s="61">
        <f t="shared" si="29"/>
        <v>679508.98288000003</v>
      </c>
      <c r="G112" s="60">
        <f t="shared" si="28"/>
        <v>1042820100.3855932</v>
      </c>
      <c r="K112" s="21"/>
      <c r="L112" s="20"/>
      <c r="Y112" s="7"/>
    </row>
    <row r="113" spans="3:25" ht="20.25" customHeight="1" x14ac:dyDescent="0.25">
      <c r="C113" s="64" t="s">
        <v>115</v>
      </c>
      <c r="D113" s="62">
        <f>SUM(D107:D112)</f>
        <v>2947297735.1389866</v>
      </c>
      <c r="E113" s="62">
        <f>SUM(E107:E112)</f>
        <v>31548326.810000002</v>
      </c>
      <c r="F113" s="62">
        <f>SUM(F107:F112)</f>
        <v>1640512.9941199999</v>
      </c>
      <c r="G113" s="62">
        <f>SUM(D113:F113)</f>
        <v>2980486574.9431067</v>
      </c>
      <c r="K113" s="20"/>
      <c r="L113" s="20"/>
      <c r="Y113" s="7"/>
    </row>
    <row r="115" spans="3:25" x14ac:dyDescent="0.25">
      <c r="D115" s="106"/>
    </row>
    <row r="116" spans="3:25" ht="51" customHeight="1" x14ac:dyDescent="0.25">
      <c r="D116" s="105"/>
    </row>
    <row r="117" spans="3:25" ht="30.75" customHeight="1" x14ac:dyDescent="0.25">
      <c r="D117" s="107"/>
    </row>
    <row r="119" spans="3:25" x14ac:dyDescent="0.25">
      <c r="D119" s="106"/>
    </row>
    <row r="122" spans="3:25" x14ac:dyDescent="0.25">
      <c r="D122" s="106"/>
    </row>
    <row r="123" spans="3:25" x14ac:dyDescent="0.25">
      <c r="D123" s="106"/>
    </row>
  </sheetData>
  <mergeCells count="6">
    <mergeCell ref="B86:E86"/>
    <mergeCell ref="B12:E12"/>
    <mergeCell ref="B18:E18"/>
    <mergeCell ref="B33:E33"/>
    <mergeCell ref="B49:E49"/>
    <mergeCell ref="B57:E57"/>
  </mergeCells>
  <pageMargins left="0.27559055118110237" right="0.31496062992125984" top="0.74803149606299213" bottom="0.74803149606299213" header="0.31496062992125984" footer="0.31496062992125984"/>
  <pageSetup paperSize="14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H121"/>
  <sheetViews>
    <sheetView showGridLines="0" zoomScaleNormal="100" workbookViewId="0">
      <pane xSplit="5" ySplit="1" topLeftCell="F101" activePane="bottomRight" state="frozen"/>
      <selection pane="topRight" activeCell="F1" sqref="F1"/>
      <selection pane="bottomLeft" activeCell="A2" sqref="A2"/>
      <selection pane="bottomRight" activeCell="F107" sqref="F107"/>
    </sheetView>
  </sheetViews>
  <sheetFormatPr baseColWidth="10" defaultColWidth="9.140625" defaultRowHeight="12.75" x14ac:dyDescent="0.25"/>
  <cols>
    <col min="1" max="1" width="2.5703125" style="7" customWidth="1"/>
    <col min="2" max="2" width="12.85546875" style="12" customWidth="1"/>
    <col min="3" max="3" width="34" style="8" customWidth="1"/>
    <col min="4" max="4" width="29.85546875" style="8" customWidth="1"/>
    <col min="5" max="5" width="21.85546875" style="8" customWidth="1"/>
    <col min="6" max="6" width="19.42578125" style="9" customWidth="1"/>
    <col min="7" max="7" width="24.85546875" style="9" customWidth="1"/>
    <col min="8" max="8" width="17.140625" style="9" customWidth="1"/>
    <col min="9" max="9" width="17.140625" style="9" hidden="1" customWidth="1"/>
    <col min="10" max="10" width="20.42578125" style="9" hidden="1" customWidth="1"/>
    <col min="11" max="11" width="21.42578125" style="9" hidden="1" customWidth="1"/>
    <col min="12" max="12" width="16.7109375" style="9" customWidth="1"/>
    <col min="13" max="13" width="17.42578125" style="9" customWidth="1"/>
    <col min="14" max="14" width="13.7109375" style="9" hidden="1" customWidth="1"/>
    <col min="15" max="15" width="16" style="9" customWidth="1"/>
    <col min="16" max="16" width="19" style="9" customWidth="1"/>
    <col min="17" max="17" width="17.42578125" style="9" customWidth="1"/>
    <col min="18" max="18" width="17.5703125" style="9" hidden="1" customWidth="1"/>
    <col min="19" max="19" width="18" style="9" hidden="1" customWidth="1"/>
    <col min="20" max="20" width="17.28515625" style="9" hidden="1" customWidth="1"/>
    <col min="21" max="21" width="14.7109375" style="9" customWidth="1"/>
    <col min="22" max="22" width="16" style="9" customWidth="1"/>
    <col min="23" max="23" width="17.140625" style="9" customWidth="1"/>
    <col min="24" max="24" width="18.85546875" style="9" customWidth="1"/>
    <col min="25" max="25" width="18.42578125" style="9" customWidth="1"/>
    <col min="26" max="26" width="16.7109375" style="7" customWidth="1"/>
    <col min="27" max="27" width="22.42578125" style="7" customWidth="1"/>
    <col min="28" max="33" width="15.85546875" style="7" customWidth="1"/>
    <col min="34" max="16384" width="9.140625" style="7"/>
  </cols>
  <sheetData>
    <row r="1" spans="2:33" s="1" customFormat="1" ht="99.75" customHeight="1" x14ac:dyDescent="0.25">
      <c r="B1" s="81" t="s">
        <v>0</v>
      </c>
      <c r="C1" s="81" t="s">
        <v>1</v>
      </c>
      <c r="D1" s="81" t="s">
        <v>2</v>
      </c>
      <c r="E1" s="81" t="s">
        <v>3</v>
      </c>
      <c r="F1" s="82" t="s">
        <v>4</v>
      </c>
      <c r="G1" s="82" t="s">
        <v>5</v>
      </c>
      <c r="H1" s="82" t="s">
        <v>6</v>
      </c>
      <c r="I1" s="82" t="s">
        <v>7</v>
      </c>
      <c r="J1" s="82" t="s">
        <v>8</v>
      </c>
      <c r="K1" s="82" t="s">
        <v>9</v>
      </c>
      <c r="L1" s="82" t="s">
        <v>10</v>
      </c>
      <c r="M1" s="82" t="s">
        <v>11</v>
      </c>
      <c r="N1" s="82" t="s">
        <v>12</v>
      </c>
      <c r="O1" s="82" t="s">
        <v>13</v>
      </c>
      <c r="P1" s="82" t="s">
        <v>14</v>
      </c>
      <c r="Q1" s="82" t="s">
        <v>15</v>
      </c>
      <c r="R1" s="82" t="s">
        <v>16</v>
      </c>
      <c r="S1" s="82" t="s">
        <v>17</v>
      </c>
      <c r="T1" s="81" t="s">
        <v>18</v>
      </c>
      <c r="U1" s="82" t="s">
        <v>19</v>
      </c>
      <c r="V1" s="82" t="s">
        <v>20</v>
      </c>
      <c r="W1" s="83" t="s">
        <v>21</v>
      </c>
      <c r="X1" s="82" t="s">
        <v>22</v>
      </c>
      <c r="Y1" s="82" t="s">
        <v>23</v>
      </c>
      <c r="Z1" s="82" t="s">
        <v>24</v>
      </c>
      <c r="AA1" s="84" t="s">
        <v>25</v>
      </c>
      <c r="AB1" s="82" t="s">
        <v>26</v>
      </c>
      <c r="AC1" s="82" t="s">
        <v>27</v>
      </c>
      <c r="AD1" s="82" t="s">
        <v>28</v>
      </c>
      <c r="AE1" s="82" t="s">
        <v>29</v>
      </c>
      <c r="AF1" s="82" t="s">
        <v>30</v>
      </c>
      <c r="AG1" s="82" t="s">
        <v>31</v>
      </c>
    </row>
    <row r="2" spans="2:33" s="2" customFormat="1" ht="49.5" customHeight="1" x14ac:dyDescent="0.25">
      <c r="B2" s="30" t="s">
        <v>32</v>
      </c>
      <c r="C2" s="27" t="s">
        <v>33</v>
      </c>
      <c r="D2" s="27" t="s">
        <v>151</v>
      </c>
      <c r="E2" s="27" t="s">
        <v>35</v>
      </c>
      <c r="F2" s="28">
        <v>0</v>
      </c>
      <c r="G2" s="31">
        <v>1</v>
      </c>
      <c r="H2" s="28">
        <v>0</v>
      </c>
      <c r="I2" s="28">
        <v>0</v>
      </c>
      <c r="J2" s="28">
        <v>0</v>
      </c>
      <c r="K2" s="28">
        <v>0</v>
      </c>
      <c r="L2" s="28">
        <v>0</v>
      </c>
      <c r="M2" s="28">
        <v>0</v>
      </c>
      <c r="N2" s="28">
        <v>0</v>
      </c>
      <c r="O2" s="28">
        <v>0</v>
      </c>
      <c r="P2" s="28">
        <v>0</v>
      </c>
      <c r="Q2" s="28">
        <v>0</v>
      </c>
      <c r="R2" s="28">
        <v>0</v>
      </c>
      <c r="S2" s="28">
        <v>0</v>
      </c>
      <c r="T2" s="28">
        <v>0</v>
      </c>
      <c r="U2" s="28">
        <v>0</v>
      </c>
      <c r="V2" s="28">
        <v>0</v>
      </c>
      <c r="W2" s="28">
        <v>0</v>
      </c>
      <c r="X2" s="28">
        <v>0</v>
      </c>
      <c r="Y2" s="28">
        <v>0</v>
      </c>
      <c r="Z2" s="28">
        <v>0</v>
      </c>
      <c r="AB2" s="35">
        <v>19</v>
      </c>
      <c r="AC2" s="35">
        <v>2</v>
      </c>
      <c r="AD2" s="35">
        <v>1</v>
      </c>
      <c r="AE2" s="35">
        <v>1</v>
      </c>
      <c r="AF2" s="35">
        <v>1</v>
      </c>
      <c r="AG2" s="35">
        <v>2</v>
      </c>
    </row>
    <row r="3" spans="2:33" s="2" customFormat="1" ht="48" customHeight="1" x14ac:dyDescent="0.25">
      <c r="B3" s="29" t="s">
        <v>32</v>
      </c>
      <c r="C3" s="27" t="s">
        <v>34</v>
      </c>
      <c r="D3" s="27" t="s">
        <v>151</v>
      </c>
      <c r="E3" s="27" t="s">
        <v>35</v>
      </c>
      <c r="F3" s="28">
        <v>0</v>
      </c>
      <c r="G3" s="31">
        <v>3</v>
      </c>
      <c r="H3" s="28">
        <v>0</v>
      </c>
      <c r="I3" s="28">
        <v>0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0</v>
      </c>
      <c r="R3" s="28">
        <v>0</v>
      </c>
      <c r="S3" s="28">
        <v>0</v>
      </c>
      <c r="T3" s="28">
        <v>0</v>
      </c>
      <c r="U3" s="28">
        <v>0</v>
      </c>
      <c r="V3" s="28">
        <v>0</v>
      </c>
      <c r="W3" s="28">
        <v>0</v>
      </c>
      <c r="X3" s="28">
        <v>0</v>
      </c>
      <c r="Y3" s="28">
        <v>0</v>
      </c>
      <c r="Z3" s="28">
        <v>0</v>
      </c>
      <c r="AB3" s="32">
        <v>0</v>
      </c>
      <c r="AC3" s="32">
        <v>0</v>
      </c>
      <c r="AD3" s="32">
        <v>0</v>
      </c>
      <c r="AE3" s="32">
        <v>0</v>
      </c>
      <c r="AF3" s="32">
        <v>0</v>
      </c>
      <c r="AG3" s="32">
        <v>0</v>
      </c>
    </row>
    <row r="4" spans="2:33" s="2" customFormat="1" ht="48" customHeight="1" x14ac:dyDescent="0.25">
      <c r="B4" s="29" t="s">
        <v>32</v>
      </c>
      <c r="C4" s="27" t="s">
        <v>34</v>
      </c>
      <c r="D4" s="27" t="s">
        <v>150</v>
      </c>
      <c r="E4" s="27" t="s">
        <v>35</v>
      </c>
      <c r="F4" s="28">
        <v>0</v>
      </c>
      <c r="G4" s="31">
        <v>2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B4" s="32">
        <v>15</v>
      </c>
      <c r="AC4" s="32">
        <v>0</v>
      </c>
      <c r="AD4" s="35">
        <v>1</v>
      </c>
      <c r="AE4" s="35">
        <v>1</v>
      </c>
      <c r="AF4" s="32">
        <v>0</v>
      </c>
      <c r="AG4" s="35">
        <v>1</v>
      </c>
    </row>
    <row r="5" spans="2:33" s="2" customFormat="1" ht="49.5" customHeight="1" x14ac:dyDescent="0.25">
      <c r="B5" s="29" t="s">
        <v>32</v>
      </c>
      <c r="C5" s="27" t="s">
        <v>34</v>
      </c>
      <c r="D5" s="27" t="s">
        <v>178</v>
      </c>
      <c r="E5" s="27" t="s">
        <v>35</v>
      </c>
      <c r="F5" s="28">
        <v>0</v>
      </c>
      <c r="G5" s="31">
        <v>1</v>
      </c>
      <c r="H5" s="28">
        <v>0</v>
      </c>
      <c r="I5" s="28">
        <v>0</v>
      </c>
      <c r="J5" s="28">
        <v>0</v>
      </c>
      <c r="K5" s="28">
        <v>0</v>
      </c>
      <c r="L5" s="28">
        <v>0</v>
      </c>
      <c r="M5" s="28">
        <v>0</v>
      </c>
      <c r="N5" s="28">
        <v>0</v>
      </c>
      <c r="O5" s="28">
        <v>0</v>
      </c>
      <c r="P5" s="28">
        <v>0</v>
      </c>
      <c r="Q5" s="28">
        <v>0</v>
      </c>
      <c r="R5" s="28">
        <v>0</v>
      </c>
      <c r="S5" s="28">
        <v>0</v>
      </c>
      <c r="T5" s="28">
        <v>0</v>
      </c>
      <c r="U5" s="28">
        <v>0</v>
      </c>
      <c r="V5" s="28">
        <v>0</v>
      </c>
      <c r="W5" s="28">
        <v>0</v>
      </c>
      <c r="X5" s="28">
        <v>0</v>
      </c>
      <c r="Y5" s="28">
        <v>0</v>
      </c>
      <c r="Z5" s="28">
        <v>0</v>
      </c>
      <c r="AB5" s="32">
        <v>7</v>
      </c>
      <c r="AC5" s="32">
        <v>0</v>
      </c>
      <c r="AD5" s="35">
        <v>1</v>
      </c>
      <c r="AE5" s="35">
        <v>1</v>
      </c>
      <c r="AF5" s="32">
        <v>0</v>
      </c>
      <c r="AG5" s="35">
        <v>1</v>
      </c>
    </row>
    <row r="6" spans="2:33" s="2" customFormat="1" ht="49.5" customHeight="1" x14ac:dyDescent="0.25">
      <c r="B6" s="29" t="s">
        <v>32</v>
      </c>
      <c r="C6" s="27" t="s">
        <v>34</v>
      </c>
      <c r="D6" s="27" t="s">
        <v>144</v>
      </c>
      <c r="E6" s="27" t="s">
        <v>36</v>
      </c>
      <c r="F6" s="28">
        <v>0</v>
      </c>
      <c r="G6" s="31">
        <v>2</v>
      </c>
      <c r="H6" s="28">
        <v>0</v>
      </c>
      <c r="I6" s="28">
        <v>0</v>
      </c>
      <c r="J6" s="28">
        <v>0</v>
      </c>
      <c r="K6" s="28">
        <v>0</v>
      </c>
      <c r="L6" s="28">
        <v>0</v>
      </c>
      <c r="M6" s="28">
        <v>0</v>
      </c>
      <c r="N6" s="28">
        <v>0</v>
      </c>
      <c r="O6" s="28">
        <v>0</v>
      </c>
      <c r="P6" s="28">
        <v>0</v>
      </c>
      <c r="Q6" s="28">
        <v>0</v>
      </c>
      <c r="R6" s="28">
        <v>0</v>
      </c>
      <c r="S6" s="28">
        <v>0</v>
      </c>
      <c r="T6" s="28">
        <v>0</v>
      </c>
      <c r="U6" s="28">
        <v>0</v>
      </c>
      <c r="V6" s="28">
        <v>0</v>
      </c>
      <c r="W6" s="28">
        <v>0</v>
      </c>
      <c r="X6" s="31">
        <v>1</v>
      </c>
      <c r="Y6" s="28">
        <v>0</v>
      </c>
      <c r="Z6" s="28">
        <v>0</v>
      </c>
      <c r="AB6" s="32">
        <v>11</v>
      </c>
      <c r="AC6" s="32">
        <v>0</v>
      </c>
      <c r="AD6" s="35">
        <v>1</v>
      </c>
      <c r="AE6" s="35">
        <v>1</v>
      </c>
      <c r="AF6" s="32">
        <v>0</v>
      </c>
      <c r="AG6" s="35">
        <v>1</v>
      </c>
    </row>
    <row r="7" spans="2:33" s="2" customFormat="1" ht="48" customHeight="1" x14ac:dyDescent="0.25">
      <c r="B7" s="29" t="s">
        <v>32</v>
      </c>
      <c r="C7" s="27" t="s">
        <v>34</v>
      </c>
      <c r="D7" s="27" t="s">
        <v>145</v>
      </c>
      <c r="E7" s="27" t="s">
        <v>36</v>
      </c>
      <c r="F7" s="28">
        <v>0</v>
      </c>
      <c r="G7" s="31">
        <v>1</v>
      </c>
      <c r="H7" s="28">
        <v>0</v>
      </c>
      <c r="I7" s="28"/>
      <c r="J7" s="28"/>
      <c r="K7" s="28"/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B7" s="32">
        <v>0</v>
      </c>
      <c r="AC7" s="32">
        <v>0</v>
      </c>
      <c r="AD7" s="32">
        <v>0</v>
      </c>
      <c r="AE7" s="32">
        <v>0</v>
      </c>
      <c r="AF7" s="32">
        <v>0</v>
      </c>
      <c r="AG7" s="32">
        <v>0</v>
      </c>
    </row>
    <row r="8" spans="2:33" s="2" customFormat="1" ht="48" customHeight="1" x14ac:dyDescent="0.25">
      <c r="B8" s="29" t="s">
        <v>32</v>
      </c>
      <c r="C8" s="27" t="s">
        <v>34</v>
      </c>
      <c r="D8" s="27" t="s">
        <v>179</v>
      </c>
      <c r="E8" s="27" t="s">
        <v>37</v>
      </c>
      <c r="F8" s="28">
        <v>0</v>
      </c>
      <c r="G8" s="31">
        <v>2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0</v>
      </c>
      <c r="W8" s="28">
        <v>0</v>
      </c>
      <c r="X8" s="28">
        <v>0</v>
      </c>
      <c r="Y8" s="28">
        <v>0</v>
      </c>
      <c r="Z8" s="28">
        <v>0</v>
      </c>
      <c r="AB8" s="35">
        <v>16</v>
      </c>
      <c r="AC8" s="32">
        <v>0</v>
      </c>
      <c r="AD8" s="35">
        <v>1</v>
      </c>
      <c r="AE8" s="35">
        <v>1</v>
      </c>
      <c r="AF8" s="32">
        <v>0</v>
      </c>
      <c r="AG8" s="35">
        <v>3</v>
      </c>
    </row>
    <row r="9" spans="2:33" s="2" customFormat="1" ht="48" customHeight="1" x14ac:dyDescent="0.25">
      <c r="B9" s="29" t="s">
        <v>32</v>
      </c>
      <c r="C9" s="27" t="s">
        <v>34</v>
      </c>
      <c r="D9" s="27" t="s">
        <v>38</v>
      </c>
      <c r="E9" s="27" t="s">
        <v>37</v>
      </c>
      <c r="F9" s="28">
        <v>0</v>
      </c>
      <c r="G9" s="31">
        <v>2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58">
        <f>(AA11/30)*24</f>
        <v>205917606.61380413</v>
      </c>
      <c r="AB9" s="32">
        <v>0</v>
      </c>
      <c r="AC9" s="32">
        <v>0</v>
      </c>
      <c r="AD9" s="32">
        <v>0</v>
      </c>
      <c r="AE9" s="32">
        <v>0</v>
      </c>
      <c r="AF9" s="32">
        <v>0</v>
      </c>
      <c r="AG9" s="32">
        <v>0</v>
      </c>
    </row>
    <row r="10" spans="2:33" s="2" customFormat="1" ht="48" customHeight="1" x14ac:dyDescent="0.25">
      <c r="B10" s="29" t="s">
        <v>32</v>
      </c>
      <c r="C10" s="27" t="s">
        <v>34</v>
      </c>
      <c r="D10" s="27" t="s">
        <v>39</v>
      </c>
      <c r="E10" s="27" t="s">
        <v>40</v>
      </c>
      <c r="F10" s="28">
        <v>0</v>
      </c>
      <c r="G10" s="31">
        <v>1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B10" s="32">
        <v>0</v>
      </c>
      <c r="AC10" s="32">
        <v>0</v>
      </c>
      <c r="AD10" s="32">
        <v>0</v>
      </c>
      <c r="AE10" s="32">
        <v>0</v>
      </c>
      <c r="AF10" s="32">
        <v>0</v>
      </c>
      <c r="AG10" s="32">
        <v>0</v>
      </c>
    </row>
    <row r="11" spans="2:33" s="2" customFormat="1" ht="48" customHeight="1" x14ac:dyDescent="0.25">
      <c r="B11" s="29" t="s">
        <v>32</v>
      </c>
      <c r="C11" s="27" t="s">
        <v>34</v>
      </c>
      <c r="D11" s="27" t="s">
        <v>180</v>
      </c>
      <c r="E11" s="27" t="s">
        <v>40</v>
      </c>
      <c r="F11" s="28">
        <v>0</v>
      </c>
      <c r="G11" s="31">
        <v>2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58">
        <f>+(G12*G97)+(X12*X97)</f>
        <v>257397008.26725519</v>
      </c>
      <c r="AB11" s="35">
        <v>15</v>
      </c>
      <c r="AC11" s="32">
        <v>0</v>
      </c>
      <c r="AD11" s="35">
        <v>1</v>
      </c>
      <c r="AE11" s="35">
        <v>1</v>
      </c>
      <c r="AF11" s="32">
        <v>0</v>
      </c>
      <c r="AG11" s="35">
        <v>3</v>
      </c>
    </row>
    <row r="12" spans="2:33" s="53" customFormat="1" ht="19.5" customHeight="1" x14ac:dyDescent="0.25">
      <c r="B12" s="165" t="s">
        <v>41</v>
      </c>
      <c r="C12" s="165"/>
      <c r="D12" s="165"/>
      <c r="E12" s="165"/>
      <c r="F12" s="85">
        <f t="shared" ref="F12:Z12" si="0">SUM(F2:F11)</f>
        <v>0</v>
      </c>
      <c r="G12" s="85">
        <f t="shared" si="0"/>
        <v>17</v>
      </c>
      <c r="H12" s="85">
        <f t="shared" si="0"/>
        <v>0</v>
      </c>
      <c r="I12" s="85">
        <f t="shared" si="0"/>
        <v>0</v>
      </c>
      <c r="J12" s="85">
        <f t="shared" si="0"/>
        <v>0</v>
      </c>
      <c r="K12" s="85">
        <f t="shared" si="0"/>
        <v>0</v>
      </c>
      <c r="L12" s="85">
        <f t="shared" si="0"/>
        <v>0</v>
      </c>
      <c r="M12" s="85">
        <f t="shared" si="0"/>
        <v>0</v>
      </c>
      <c r="N12" s="85">
        <f t="shared" si="0"/>
        <v>0</v>
      </c>
      <c r="O12" s="85">
        <f t="shared" si="0"/>
        <v>0</v>
      </c>
      <c r="P12" s="85">
        <f t="shared" si="0"/>
        <v>0</v>
      </c>
      <c r="Q12" s="85">
        <f t="shared" si="0"/>
        <v>0</v>
      </c>
      <c r="R12" s="85">
        <f t="shared" si="0"/>
        <v>0</v>
      </c>
      <c r="S12" s="85">
        <f t="shared" si="0"/>
        <v>0</v>
      </c>
      <c r="T12" s="85">
        <f t="shared" si="0"/>
        <v>0</v>
      </c>
      <c r="U12" s="85">
        <f t="shared" si="0"/>
        <v>0</v>
      </c>
      <c r="V12" s="85">
        <f t="shared" si="0"/>
        <v>0</v>
      </c>
      <c r="W12" s="85">
        <f t="shared" si="0"/>
        <v>0</v>
      </c>
      <c r="X12" s="85">
        <f t="shared" si="0"/>
        <v>1</v>
      </c>
      <c r="Y12" s="85">
        <f t="shared" si="0"/>
        <v>0</v>
      </c>
      <c r="Z12" s="85">
        <f t="shared" si="0"/>
        <v>0</v>
      </c>
      <c r="AA12" s="86">
        <f>SUM(F12:Z12)</f>
        <v>18</v>
      </c>
      <c r="AB12" s="87">
        <f t="shared" ref="AB12:AG12" si="1">SUM(AB2:AB11)</f>
        <v>83</v>
      </c>
      <c r="AC12" s="87">
        <f t="shared" si="1"/>
        <v>2</v>
      </c>
      <c r="AD12" s="87">
        <f t="shared" si="1"/>
        <v>6</v>
      </c>
      <c r="AE12" s="87">
        <f t="shared" si="1"/>
        <v>6</v>
      </c>
      <c r="AF12" s="87">
        <f t="shared" si="1"/>
        <v>1</v>
      </c>
      <c r="AG12" s="87">
        <f t="shared" si="1"/>
        <v>11</v>
      </c>
    </row>
    <row r="13" spans="2:33" s="2" customFormat="1" ht="49.5" customHeight="1" x14ac:dyDescent="0.25">
      <c r="B13" s="30" t="s">
        <v>42</v>
      </c>
      <c r="C13" s="27" t="s">
        <v>43</v>
      </c>
      <c r="D13" s="27" t="s">
        <v>181</v>
      </c>
      <c r="E13" s="27" t="s">
        <v>45</v>
      </c>
      <c r="F13" s="28">
        <v>0</v>
      </c>
      <c r="G13" s="31">
        <v>1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32">
        <v>0</v>
      </c>
    </row>
    <row r="14" spans="2:33" s="2" customFormat="1" ht="48" customHeight="1" x14ac:dyDescent="0.25">
      <c r="B14" s="29" t="s">
        <v>42</v>
      </c>
      <c r="C14" s="27" t="s">
        <v>44</v>
      </c>
      <c r="D14" s="27" t="s">
        <v>181</v>
      </c>
      <c r="E14" s="27" t="s">
        <v>45</v>
      </c>
      <c r="F14" s="31">
        <v>1</v>
      </c>
      <c r="G14" s="31">
        <v>3</v>
      </c>
      <c r="H14" s="31">
        <v>1</v>
      </c>
      <c r="I14" s="28">
        <v>0</v>
      </c>
      <c r="J14" s="28">
        <v>0</v>
      </c>
      <c r="K14" s="28">
        <v>0</v>
      </c>
      <c r="L14" s="28">
        <v>0</v>
      </c>
      <c r="M14" s="31">
        <v>1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31">
        <v>1</v>
      </c>
      <c r="Z14" s="28">
        <v>0</v>
      </c>
      <c r="AB14" s="35">
        <v>58</v>
      </c>
      <c r="AC14" s="35">
        <v>2</v>
      </c>
      <c r="AD14" s="35">
        <v>2</v>
      </c>
      <c r="AE14" s="35">
        <v>2</v>
      </c>
      <c r="AF14" s="35">
        <v>1</v>
      </c>
      <c r="AG14" s="35">
        <v>5</v>
      </c>
    </row>
    <row r="15" spans="2:33" s="2" customFormat="1" ht="47.25" customHeight="1" x14ac:dyDescent="0.25">
      <c r="B15" s="29" t="s">
        <v>42</v>
      </c>
      <c r="C15" s="27" t="s">
        <v>46</v>
      </c>
      <c r="D15" s="27" t="s">
        <v>181</v>
      </c>
      <c r="E15" s="27" t="s">
        <v>45</v>
      </c>
      <c r="F15" s="31"/>
      <c r="G15" s="31">
        <v>2</v>
      </c>
      <c r="H15" s="31">
        <v>1</v>
      </c>
      <c r="I15" s="28"/>
      <c r="J15" s="28"/>
      <c r="K15" s="28"/>
      <c r="L15" s="28"/>
      <c r="M15" s="28"/>
      <c r="N15" s="28"/>
      <c r="O15" s="28"/>
      <c r="P15" s="28">
        <v>1</v>
      </c>
      <c r="Q15" s="28"/>
      <c r="R15" s="28"/>
      <c r="S15" s="28"/>
      <c r="T15" s="28"/>
      <c r="U15" s="28"/>
      <c r="V15" s="28"/>
      <c r="W15" s="28"/>
      <c r="X15" s="28"/>
      <c r="Y15" s="28"/>
      <c r="Z15" s="28"/>
      <c r="AB15" s="35">
        <v>5</v>
      </c>
      <c r="AC15" s="32">
        <v>40</v>
      </c>
      <c r="AD15" s="32">
        <v>2</v>
      </c>
      <c r="AE15" s="32">
        <v>2</v>
      </c>
      <c r="AF15" s="32">
        <v>1</v>
      </c>
      <c r="AG15" s="32"/>
    </row>
    <row r="16" spans="2:33" s="2" customFormat="1" ht="48" customHeight="1" x14ac:dyDescent="0.25">
      <c r="B16" s="29" t="s">
        <v>42</v>
      </c>
      <c r="C16" s="27" t="s">
        <v>44</v>
      </c>
      <c r="D16" s="27" t="s">
        <v>152</v>
      </c>
      <c r="E16" s="27" t="s">
        <v>47</v>
      </c>
      <c r="F16" s="31">
        <v>3</v>
      </c>
      <c r="G16" s="31">
        <v>4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58">
        <f>(AA17/30)*24</f>
        <v>262961752.28634435</v>
      </c>
      <c r="AB16" s="35">
        <v>10</v>
      </c>
      <c r="AC16" s="32">
        <v>0</v>
      </c>
      <c r="AD16" s="35">
        <v>1</v>
      </c>
      <c r="AE16" s="35">
        <v>1</v>
      </c>
      <c r="AF16" s="32">
        <v>0</v>
      </c>
      <c r="AG16" s="35">
        <v>3</v>
      </c>
    </row>
    <row r="17" spans="2:34" s="2" customFormat="1" ht="48" customHeight="1" x14ac:dyDescent="0.25">
      <c r="B17" s="29" t="s">
        <v>42</v>
      </c>
      <c r="C17" s="27" t="s">
        <v>44</v>
      </c>
      <c r="D17" s="27" t="s">
        <v>146</v>
      </c>
      <c r="E17" s="27" t="s">
        <v>48</v>
      </c>
      <c r="F17" s="31">
        <v>2</v>
      </c>
      <c r="G17" s="31">
        <v>3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58">
        <f>+(F18*F97)+(G18*G97)+(H18*H97)+(M18*M97)+(P18*P97)+(Y18*Y97)</f>
        <v>328702190.35793042</v>
      </c>
      <c r="AB17" s="35">
        <v>10</v>
      </c>
      <c r="AC17" s="32">
        <v>0</v>
      </c>
      <c r="AD17" s="35">
        <v>1</v>
      </c>
      <c r="AE17" s="35">
        <v>1</v>
      </c>
      <c r="AF17" s="32">
        <v>0</v>
      </c>
      <c r="AG17" s="35">
        <v>3</v>
      </c>
    </row>
    <row r="18" spans="2:34" s="53" customFormat="1" ht="19.5" customHeight="1" x14ac:dyDescent="0.25">
      <c r="B18" s="165" t="s">
        <v>49</v>
      </c>
      <c r="C18" s="165"/>
      <c r="D18" s="165"/>
      <c r="E18" s="165"/>
      <c r="F18" s="85">
        <f t="shared" ref="F18:Z18" si="2">SUM(F13:F17)</f>
        <v>6</v>
      </c>
      <c r="G18" s="85">
        <f t="shared" si="2"/>
        <v>13</v>
      </c>
      <c r="H18" s="85">
        <f t="shared" si="2"/>
        <v>2</v>
      </c>
      <c r="I18" s="85">
        <f t="shared" si="2"/>
        <v>0</v>
      </c>
      <c r="J18" s="85">
        <f t="shared" si="2"/>
        <v>0</v>
      </c>
      <c r="K18" s="85">
        <f t="shared" si="2"/>
        <v>0</v>
      </c>
      <c r="L18" s="85">
        <f t="shared" si="2"/>
        <v>0</v>
      </c>
      <c r="M18" s="85">
        <f t="shared" si="2"/>
        <v>1</v>
      </c>
      <c r="N18" s="85">
        <f t="shared" si="2"/>
        <v>0</v>
      </c>
      <c r="O18" s="85">
        <f t="shared" si="2"/>
        <v>0</v>
      </c>
      <c r="P18" s="85">
        <f t="shared" si="2"/>
        <v>1</v>
      </c>
      <c r="Q18" s="85">
        <f t="shared" si="2"/>
        <v>0</v>
      </c>
      <c r="R18" s="85">
        <f t="shared" si="2"/>
        <v>0</v>
      </c>
      <c r="S18" s="85">
        <f t="shared" si="2"/>
        <v>0</v>
      </c>
      <c r="T18" s="85">
        <f t="shared" si="2"/>
        <v>0</v>
      </c>
      <c r="U18" s="85">
        <f t="shared" si="2"/>
        <v>0</v>
      </c>
      <c r="V18" s="85">
        <f t="shared" si="2"/>
        <v>0</v>
      </c>
      <c r="W18" s="85">
        <f t="shared" si="2"/>
        <v>0</v>
      </c>
      <c r="X18" s="85">
        <f t="shared" si="2"/>
        <v>0</v>
      </c>
      <c r="Y18" s="85">
        <f t="shared" si="2"/>
        <v>1</v>
      </c>
      <c r="Z18" s="85">
        <f t="shared" si="2"/>
        <v>0</v>
      </c>
      <c r="AA18" s="86">
        <f>SUM(F18:Z18)</f>
        <v>24</v>
      </c>
      <c r="AB18" s="87">
        <f>SUM(AB13:AB17)</f>
        <v>83</v>
      </c>
      <c r="AC18" s="87">
        <f t="shared" ref="AC18:AG18" si="3">SUM(AC13:AC17)</f>
        <v>42</v>
      </c>
      <c r="AD18" s="87">
        <f t="shared" si="3"/>
        <v>6</v>
      </c>
      <c r="AE18" s="87">
        <f t="shared" si="3"/>
        <v>6</v>
      </c>
      <c r="AF18" s="87">
        <f t="shared" si="3"/>
        <v>2</v>
      </c>
      <c r="AG18" s="87">
        <f t="shared" si="3"/>
        <v>11</v>
      </c>
    </row>
    <row r="19" spans="2:34" s="2" customFormat="1" ht="43.5" customHeight="1" x14ac:dyDescent="0.25">
      <c r="B19" s="30" t="s">
        <v>50</v>
      </c>
      <c r="C19" s="27" t="s">
        <v>33</v>
      </c>
      <c r="D19" s="27" t="s">
        <v>182</v>
      </c>
      <c r="E19" s="27" t="s">
        <v>52</v>
      </c>
      <c r="F19" s="28">
        <v>0</v>
      </c>
      <c r="G19" s="31">
        <v>1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B19" s="32">
        <v>0</v>
      </c>
      <c r="AC19" s="32">
        <v>0</v>
      </c>
      <c r="AD19" s="32">
        <v>0</v>
      </c>
      <c r="AE19" s="32">
        <v>0</v>
      </c>
      <c r="AF19" s="32">
        <v>0</v>
      </c>
      <c r="AG19" s="32">
        <v>0</v>
      </c>
    </row>
    <row r="20" spans="2:34" s="2" customFormat="1" ht="48" customHeight="1" x14ac:dyDescent="0.25">
      <c r="B20" s="29" t="s">
        <v>50</v>
      </c>
      <c r="C20" s="27" t="s">
        <v>195</v>
      </c>
      <c r="D20" s="27" t="s">
        <v>182</v>
      </c>
      <c r="E20" s="27" t="s">
        <v>52</v>
      </c>
      <c r="F20" s="28">
        <v>0</v>
      </c>
      <c r="G20" s="31">
        <v>4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31">
        <v>1</v>
      </c>
      <c r="R20" s="28">
        <v>0</v>
      </c>
      <c r="S20" s="28">
        <v>0</v>
      </c>
      <c r="T20" s="28">
        <v>0</v>
      </c>
      <c r="U20" s="28">
        <v>0</v>
      </c>
      <c r="V20" s="31">
        <v>1</v>
      </c>
      <c r="W20" s="28">
        <v>0</v>
      </c>
      <c r="X20" s="28">
        <v>0</v>
      </c>
      <c r="Y20" s="28">
        <v>0</v>
      </c>
      <c r="Z20" s="28">
        <v>0</v>
      </c>
      <c r="AB20" s="35">
        <v>18</v>
      </c>
      <c r="AC20" s="32">
        <v>0</v>
      </c>
      <c r="AD20" s="35">
        <v>2</v>
      </c>
      <c r="AE20" s="35">
        <v>2</v>
      </c>
      <c r="AF20" s="35">
        <v>1</v>
      </c>
      <c r="AG20" s="32">
        <v>0</v>
      </c>
    </row>
    <row r="21" spans="2:34" s="2" customFormat="1" ht="48" customHeight="1" x14ac:dyDescent="0.25">
      <c r="B21" s="29" t="s">
        <v>50</v>
      </c>
      <c r="C21" s="27" t="s">
        <v>195</v>
      </c>
      <c r="D21" s="27" t="s">
        <v>183</v>
      </c>
      <c r="E21" s="27" t="s">
        <v>121</v>
      </c>
      <c r="F21" s="28">
        <v>0</v>
      </c>
      <c r="G21" s="31">
        <v>1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B21" s="35">
        <v>8</v>
      </c>
      <c r="AC21" s="32">
        <v>0</v>
      </c>
      <c r="AD21" s="35">
        <v>1</v>
      </c>
      <c r="AE21" s="35">
        <v>1</v>
      </c>
      <c r="AF21" s="35">
        <v>1</v>
      </c>
      <c r="AG21" s="35">
        <v>1</v>
      </c>
    </row>
    <row r="22" spans="2:34" s="2" customFormat="1" ht="48" customHeight="1" x14ac:dyDescent="0.25">
      <c r="B22" s="29" t="s">
        <v>50</v>
      </c>
      <c r="C22" s="27" t="s">
        <v>195</v>
      </c>
      <c r="D22" s="27" t="s">
        <v>153</v>
      </c>
      <c r="E22" s="27" t="s">
        <v>123</v>
      </c>
      <c r="F22" s="28">
        <v>0</v>
      </c>
      <c r="G22" s="31">
        <v>1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B22" s="35">
        <v>8</v>
      </c>
      <c r="AC22" s="32">
        <v>0</v>
      </c>
      <c r="AD22" s="35">
        <v>1</v>
      </c>
      <c r="AE22" s="35">
        <v>1</v>
      </c>
      <c r="AF22" s="35">
        <v>1</v>
      </c>
      <c r="AG22" s="35">
        <v>1</v>
      </c>
    </row>
    <row r="23" spans="2:34" s="2" customFormat="1" ht="43.5" customHeight="1" x14ac:dyDescent="0.25">
      <c r="B23" s="30" t="s">
        <v>50</v>
      </c>
      <c r="C23" s="27" t="s">
        <v>51</v>
      </c>
      <c r="D23" s="27" t="s">
        <v>53</v>
      </c>
      <c r="E23" s="27" t="s">
        <v>52</v>
      </c>
      <c r="F23" s="28">
        <v>0</v>
      </c>
      <c r="G23" s="31">
        <v>3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/>
      <c r="N23" s="28">
        <v>0</v>
      </c>
      <c r="O23" s="28">
        <v>0</v>
      </c>
      <c r="P23" s="28">
        <v>0</v>
      </c>
      <c r="Q23" s="31">
        <v>1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B23" s="35">
        <v>22</v>
      </c>
      <c r="AC23" s="32">
        <v>0</v>
      </c>
      <c r="AD23" s="35">
        <v>2</v>
      </c>
      <c r="AE23" s="35">
        <v>2</v>
      </c>
      <c r="AF23" s="35">
        <v>1</v>
      </c>
      <c r="AG23" s="32">
        <v>0</v>
      </c>
    </row>
    <row r="24" spans="2:34" s="2" customFormat="1" ht="48" customHeight="1" x14ac:dyDescent="0.25">
      <c r="B24" s="29" t="s">
        <v>50</v>
      </c>
      <c r="C24" s="27" t="s">
        <v>54</v>
      </c>
      <c r="D24" s="27" t="s">
        <v>154</v>
      </c>
      <c r="E24" s="27" t="s">
        <v>121</v>
      </c>
      <c r="F24" s="28">
        <v>0</v>
      </c>
      <c r="G24" s="31">
        <v>3</v>
      </c>
      <c r="H24" s="28">
        <v>0</v>
      </c>
      <c r="I24" s="28">
        <v>0</v>
      </c>
      <c r="J24" s="28">
        <v>0</v>
      </c>
      <c r="K24" s="28">
        <v>0</v>
      </c>
      <c r="L24" s="31">
        <v>1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B24" s="35">
        <v>12</v>
      </c>
      <c r="AC24" s="32">
        <v>0</v>
      </c>
      <c r="AD24" s="35">
        <v>1</v>
      </c>
      <c r="AE24" s="35">
        <v>1</v>
      </c>
      <c r="AF24" s="32">
        <v>0</v>
      </c>
      <c r="AG24" s="32">
        <v>0</v>
      </c>
    </row>
    <row r="25" spans="2:34" s="2" customFormat="1" ht="48" customHeight="1" x14ac:dyDescent="0.25">
      <c r="B25" s="29" t="s">
        <v>50</v>
      </c>
      <c r="C25" s="27" t="s">
        <v>54</v>
      </c>
      <c r="D25" s="27" t="s">
        <v>147</v>
      </c>
      <c r="E25" s="27" t="s">
        <v>121</v>
      </c>
      <c r="F25" s="28">
        <v>0</v>
      </c>
      <c r="G25" s="31">
        <v>2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31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31">
        <v>1</v>
      </c>
      <c r="W25" s="28">
        <v>0</v>
      </c>
      <c r="X25" s="28">
        <v>0</v>
      </c>
      <c r="Y25" s="28">
        <v>0</v>
      </c>
      <c r="Z25" s="28">
        <v>0</v>
      </c>
      <c r="AB25" s="32">
        <v>0</v>
      </c>
      <c r="AC25" s="32">
        <v>0</v>
      </c>
      <c r="AD25" s="32">
        <v>0</v>
      </c>
      <c r="AE25" s="32">
        <v>0</v>
      </c>
      <c r="AF25" s="32">
        <v>0</v>
      </c>
      <c r="AG25" s="32">
        <v>0</v>
      </c>
    </row>
    <row r="26" spans="2:34" s="2" customFormat="1" ht="48" customHeight="1" x14ac:dyDescent="0.25">
      <c r="B26" s="29" t="s">
        <v>50</v>
      </c>
      <c r="C26" s="27" t="s">
        <v>54</v>
      </c>
      <c r="D26" s="27" t="s">
        <v>148</v>
      </c>
      <c r="E26" s="27" t="s">
        <v>124</v>
      </c>
      <c r="F26" s="28">
        <v>0</v>
      </c>
      <c r="G26" s="31">
        <v>1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B26" s="35">
        <v>6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</row>
    <row r="27" spans="2:34" s="2" customFormat="1" ht="49.5" customHeight="1" x14ac:dyDescent="0.25">
      <c r="B27" s="30" t="s">
        <v>50</v>
      </c>
      <c r="C27" s="27" t="s">
        <v>55</v>
      </c>
      <c r="D27" s="27" t="s">
        <v>184</v>
      </c>
      <c r="E27" s="27" t="s">
        <v>56</v>
      </c>
      <c r="F27" s="28">
        <v>0</v>
      </c>
      <c r="G27" s="31">
        <v>2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B27" s="35">
        <v>14</v>
      </c>
      <c r="AC27" s="32">
        <v>0</v>
      </c>
      <c r="AD27" s="35">
        <v>1</v>
      </c>
      <c r="AE27" s="35">
        <v>1</v>
      </c>
      <c r="AF27" s="32">
        <v>0</v>
      </c>
      <c r="AG27" s="35">
        <v>1</v>
      </c>
    </row>
    <row r="28" spans="2:34" s="2" customFormat="1" ht="49.5" customHeight="1" x14ac:dyDescent="0.25">
      <c r="B28" s="30" t="s">
        <v>50</v>
      </c>
      <c r="C28" s="27" t="s">
        <v>55</v>
      </c>
      <c r="D28" s="27" t="s">
        <v>185</v>
      </c>
      <c r="E28" s="27" t="s">
        <v>56</v>
      </c>
      <c r="F28" s="28">
        <v>0</v>
      </c>
      <c r="G28" s="31">
        <v>2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B28" s="35">
        <v>6</v>
      </c>
      <c r="AC28" s="35">
        <v>2</v>
      </c>
      <c r="AD28" s="35">
        <v>1</v>
      </c>
      <c r="AE28" s="35">
        <v>1</v>
      </c>
      <c r="AF28" s="32">
        <v>0</v>
      </c>
      <c r="AG28" s="35">
        <v>1</v>
      </c>
    </row>
    <row r="29" spans="2:34" s="2" customFormat="1" ht="49.5" customHeight="1" x14ac:dyDescent="0.25">
      <c r="B29" s="30" t="s">
        <v>50</v>
      </c>
      <c r="C29" s="27" t="s">
        <v>55</v>
      </c>
      <c r="D29" s="27" t="s">
        <v>186</v>
      </c>
      <c r="E29" s="27" t="s">
        <v>56</v>
      </c>
      <c r="F29" s="28">
        <v>0</v>
      </c>
      <c r="G29" s="31">
        <v>1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B29" s="35">
        <v>6</v>
      </c>
      <c r="AC29" s="35">
        <v>2</v>
      </c>
      <c r="AD29" s="35">
        <v>1</v>
      </c>
      <c r="AE29" s="35">
        <v>1</v>
      </c>
      <c r="AF29" s="32">
        <v>0</v>
      </c>
      <c r="AG29" s="35">
        <v>1</v>
      </c>
    </row>
    <row r="30" spans="2:34" s="2" customFormat="1" ht="49.5" customHeight="1" x14ac:dyDescent="0.25">
      <c r="B30" s="30" t="s">
        <v>50</v>
      </c>
      <c r="C30" s="27" t="s">
        <v>55</v>
      </c>
      <c r="D30" s="27" t="s">
        <v>171</v>
      </c>
      <c r="E30" s="27" t="s">
        <v>56</v>
      </c>
      <c r="F30" s="28">
        <v>0</v>
      </c>
      <c r="G30" s="31">
        <v>1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58">
        <f>(AA32/30)*24</f>
        <v>311857713.14973378</v>
      </c>
      <c r="AB30" s="35">
        <v>4</v>
      </c>
      <c r="AC30" s="35">
        <v>2</v>
      </c>
      <c r="AD30" s="32">
        <v>0</v>
      </c>
      <c r="AE30" s="32">
        <v>0</v>
      </c>
      <c r="AF30" s="32">
        <v>0</v>
      </c>
      <c r="AG30" s="32">
        <v>0</v>
      </c>
      <c r="AH30" s="32"/>
    </row>
    <row r="31" spans="2:34" s="2" customFormat="1" ht="49.5" customHeight="1" x14ac:dyDescent="0.25">
      <c r="B31" s="30" t="s">
        <v>50</v>
      </c>
      <c r="C31" s="27" t="s">
        <v>57</v>
      </c>
      <c r="D31" s="27" t="s">
        <v>187</v>
      </c>
      <c r="E31" s="27" t="s">
        <v>125</v>
      </c>
      <c r="F31" s="28">
        <v>0</v>
      </c>
      <c r="G31" s="31">
        <v>1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58"/>
      <c r="AB31" s="35">
        <v>6</v>
      </c>
      <c r="AC31" s="32">
        <v>0</v>
      </c>
      <c r="AD31" s="35">
        <v>1</v>
      </c>
      <c r="AE31" s="35">
        <v>1</v>
      </c>
      <c r="AF31" s="32">
        <v>0</v>
      </c>
      <c r="AG31" s="35">
        <v>1</v>
      </c>
    </row>
    <row r="32" spans="2:34" s="2" customFormat="1" ht="49.5" customHeight="1" x14ac:dyDescent="0.25">
      <c r="B32" s="30" t="s">
        <v>50</v>
      </c>
      <c r="C32" s="27" t="s">
        <v>57</v>
      </c>
      <c r="D32" s="27" t="s">
        <v>149</v>
      </c>
      <c r="E32" s="27" t="s">
        <v>126</v>
      </c>
      <c r="F32" s="28">
        <v>0</v>
      </c>
      <c r="G32" s="31">
        <v>1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58">
        <f>+(G33*G97)+(L33*L97)+(O33*O97)+(Q33*Q97)+(V33*V97)</f>
        <v>389822141.43716723</v>
      </c>
      <c r="AB32" s="35">
        <v>6</v>
      </c>
      <c r="AC32" s="32">
        <v>0</v>
      </c>
      <c r="AD32" s="35">
        <v>1</v>
      </c>
      <c r="AE32" s="35">
        <v>1</v>
      </c>
      <c r="AF32" s="32">
        <v>0</v>
      </c>
      <c r="AG32" s="35">
        <v>1</v>
      </c>
    </row>
    <row r="33" spans="2:33" s="53" customFormat="1" ht="19.5" customHeight="1" x14ac:dyDescent="0.25">
      <c r="B33" s="165" t="s">
        <v>58</v>
      </c>
      <c r="C33" s="165"/>
      <c r="D33" s="165"/>
      <c r="E33" s="165"/>
      <c r="F33" s="85">
        <f t="shared" ref="F33:Z33" si="4">SUM(F19:F32)</f>
        <v>0</v>
      </c>
      <c r="G33" s="85">
        <f t="shared" si="4"/>
        <v>24</v>
      </c>
      <c r="H33" s="85">
        <f t="shared" si="4"/>
        <v>0</v>
      </c>
      <c r="I33" s="85">
        <f t="shared" si="4"/>
        <v>0</v>
      </c>
      <c r="J33" s="85">
        <f t="shared" si="4"/>
        <v>0</v>
      </c>
      <c r="K33" s="85">
        <f t="shared" si="4"/>
        <v>0</v>
      </c>
      <c r="L33" s="85">
        <f t="shared" si="4"/>
        <v>1</v>
      </c>
      <c r="M33" s="85">
        <f t="shared" si="4"/>
        <v>0</v>
      </c>
      <c r="N33" s="85">
        <f t="shared" si="4"/>
        <v>0</v>
      </c>
      <c r="O33" s="85">
        <f t="shared" si="4"/>
        <v>0</v>
      </c>
      <c r="P33" s="85">
        <f t="shared" si="4"/>
        <v>0</v>
      </c>
      <c r="Q33" s="85">
        <f t="shared" si="4"/>
        <v>2</v>
      </c>
      <c r="R33" s="85">
        <f t="shared" si="4"/>
        <v>0</v>
      </c>
      <c r="S33" s="85">
        <f t="shared" si="4"/>
        <v>0</v>
      </c>
      <c r="T33" s="85">
        <f t="shared" si="4"/>
        <v>0</v>
      </c>
      <c r="U33" s="85">
        <f t="shared" si="4"/>
        <v>0</v>
      </c>
      <c r="V33" s="85">
        <f t="shared" si="4"/>
        <v>2</v>
      </c>
      <c r="W33" s="85">
        <f t="shared" si="4"/>
        <v>0</v>
      </c>
      <c r="X33" s="85">
        <f t="shared" si="4"/>
        <v>0</v>
      </c>
      <c r="Y33" s="85">
        <f t="shared" si="4"/>
        <v>0</v>
      </c>
      <c r="Z33" s="85">
        <f t="shared" si="4"/>
        <v>0</v>
      </c>
      <c r="AA33" s="86">
        <f>SUM(F33:Z33)</f>
        <v>29</v>
      </c>
      <c r="AB33" s="87">
        <f t="shared" ref="AB33:AG33" si="5">SUM(AB19:AB32)</f>
        <v>116</v>
      </c>
      <c r="AC33" s="87">
        <f t="shared" si="5"/>
        <v>6</v>
      </c>
      <c r="AD33" s="87">
        <f t="shared" si="5"/>
        <v>12</v>
      </c>
      <c r="AE33" s="87">
        <f t="shared" si="5"/>
        <v>12</v>
      </c>
      <c r="AF33" s="87">
        <f t="shared" si="5"/>
        <v>4</v>
      </c>
      <c r="AG33" s="87">
        <f t="shared" si="5"/>
        <v>7</v>
      </c>
    </row>
    <row r="34" spans="2:33" s="2" customFormat="1" ht="48" customHeight="1" x14ac:dyDescent="0.25">
      <c r="B34" s="29" t="s">
        <v>59</v>
      </c>
      <c r="C34" s="27" t="s">
        <v>43</v>
      </c>
      <c r="D34" s="27" t="s">
        <v>60</v>
      </c>
      <c r="E34" s="27" t="s">
        <v>61</v>
      </c>
      <c r="F34" s="28">
        <v>0</v>
      </c>
      <c r="G34" s="31">
        <v>0</v>
      </c>
      <c r="H34" s="31">
        <v>1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B34" s="32">
        <v>0</v>
      </c>
      <c r="AC34" s="32">
        <v>0</v>
      </c>
      <c r="AD34" s="32">
        <v>0</v>
      </c>
      <c r="AE34" s="32">
        <v>0</v>
      </c>
      <c r="AF34" s="32">
        <v>0</v>
      </c>
      <c r="AG34" s="32">
        <v>0</v>
      </c>
    </row>
    <row r="35" spans="2:33" s="2" customFormat="1" ht="48" customHeight="1" x14ac:dyDescent="0.25">
      <c r="B35" s="29" t="s">
        <v>59</v>
      </c>
      <c r="C35" s="27" t="s">
        <v>43</v>
      </c>
      <c r="D35" s="27" t="s">
        <v>62</v>
      </c>
      <c r="E35" s="27" t="s">
        <v>61</v>
      </c>
      <c r="F35" s="28">
        <v>0</v>
      </c>
      <c r="G35" s="31">
        <v>1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31">
        <v>1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31">
        <v>1</v>
      </c>
      <c r="Z35" s="28">
        <v>0</v>
      </c>
      <c r="AB35" s="32">
        <v>0</v>
      </c>
      <c r="AC35" s="32">
        <v>0</v>
      </c>
      <c r="AD35" s="32">
        <v>0</v>
      </c>
      <c r="AE35" s="32">
        <v>0</v>
      </c>
      <c r="AF35" s="32">
        <v>0</v>
      </c>
      <c r="AG35" s="32">
        <v>0</v>
      </c>
    </row>
    <row r="36" spans="2:33" s="2" customFormat="1" ht="48" customHeight="1" x14ac:dyDescent="0.25">
      <c r="B36" s="29" t="s">
        <v>59</v>
      </c>
      <c r="C36" s="27" t="s">
        <v>43</v>
      </c>
      <c r="D36" s="27" t="s">
        <v>63</v>
      </c>
      <c r="E36" s="27" t="s">
        <v>61</v>
      </c>
      <c r="F36" s="28">
        <v>0</v>
      </c>
      <c r="G36" s="31">
        <v>2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B36" s="35">
        <v>25</v>
      </c>
      <c r="AC36" s="35">
        <v>2</v>
      </c>
      <c r="AD36" s="35">
        <v>3</v>
      </c>
      <c r="AE36" s="35">
        <v>1</v>
      </c>
      <c r="AF36" s="32">
        <v>0</v>
      </c>
      <c r="AG36" s="32">
        <v>0</v>
      </c>
    </row>
    <row r="37" spans="2:33" s="2" customFormat="1" ht="48" customHeight="1" x14ac:dyDescent="0.25">
      <c r="B37" s="29" t="s">
        <v>59</v>
      </c>
      <c r="C37" s="27" t="s">
        <v>43</v>
      </c>
      <c r="D37" s="27" t="s">
        <v>64</v>
      </c>
      <c r="E37" s="27" t="s">
        <v>61</v>
      </c>
      <c r="F37" s="28">
        <v>0</v>
      </c>
      <c r="G37" s="31">
        <v>1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B37" s="35">
        <v>10</v>
      </c>
      <c r="AC37" s="35">
        <v>2</v>
      </c>
      <c r="AD37" s="32">
        <v>0</v>
      </c>
      <c r="AE37" s="32">
        <v>0</v>
      </c>
      <c r="AF37" s="32">
        <v>0</v>
      </c>
      <c r="AG37" s="32">
        <v>0</v>
      </c>
    </row>
    <row r="38" spans="2:33" s="2" customFormat="1" ht="48" customHeight="1" x14ac:dyDescent="0.25">
      <c r="B38" s="29" t="s">
        <v>59</v>
      </c>
      <c r="C38" s="27" t="s">
        <v>43</v>
      </c>
      <c r="D38" s="27" t="s">
        <v>65</v>
      </c>
      <c r="E38" s="27" t="s">
        <v>61</v>
      </c>
      <c r="F38" s="28"/>
      <c r="G38" s="31">
        <v>1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B38" s="32">
        <v>0</v>
      </c>
      <c r="AC38" s="32">
        <v>0</v>
      </c>
      <c r="AD38" s="32">
        <v>0</v>
      </c>
      <c r="AE38" s="32">
        <v>0</v>
      </c>
      <c r="AF38" s="32">
        <v>0</v>
      </c>
      <c r="AG38" s="32">
        <v>0</v>
      </c>
    </row>
    <row r="39" spans="2:33" s="2" customFormat="1" ht="49.5" customHeight="1" x14ac:dyDescent="0.25">
      <c r="B39" s="29" t="s">
        <v>59</v>
      </c>
      <c r="C39" s="27" t="s">
        <v>66</v>
      </c>
      <c r="D39" s="27" t="s">
        <v>67</v>
      </c>
      <c r="E39" s="27" t="s">
        <v>61</v>
      </c>
      <c r="F39" s="28">
        <v>0</v>
      </c>
      <c r="G39" s="31">
        <v>3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31">
        <v>1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B39" s="35">
        <v>13</v>
      </c>
      <c r="AC39" s="35">
        <v>1</v>
      </c>
      <c r="AD39" s="32">
        <v>0</v>
      </c>
      <c r="AE39" s="32">
        <v>0</v>
      </c>
      <c r="AF39" s="32">
        <v>0</v>
      </c>
      <c r="AG39" s="35">
        <v>2</v>
      </c>
    </row>
    <row r="40" spans="2:33" s="2" customFormat="1" ht="49.5" customHeight="1" x14ac:dyDescent="0.25">
      <c r="B40" s="29" t="s">
        <v>59</v>
      </c>
      <c r="C40" s="27" t="s">
        <v>66</v>
      </c>
      <c r="D40" s="27" t="s">
        <v>68</v>
      </c>
      <c r="E40" s="27" t="s">
        <v>61</v>
      </c>
      <c r="F40" s="28">
        <v>0</v>
      </c>
      <c r="G40" s="31">
        <v>2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31">
        <v>1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B40" s="35">
        <v>11</v>
      </c>
      <c r="AC40" s="32">
        <v>0</v>
      </c>
      <c r="AD40" s="32">
        <v>0</v>
      </c>
      <c r="AE40" s="32">
        <v>0</v>
      </c>
      <c r="AF40" s="32">
        <v>0</v>
      </c>
      <c r="AG40" s="35">
        <v>3</v>
      </c>
    </row>
    <row r="41" spans="2:33" s="2" customFormat="1" ht="49.5" customHeight="1" x14ac:dyDescent="0.25">
      <c r="B41" s="29" t="s">
        <v>59</v>
      </c>
      <c r="C41" s="27" t="s">
        <v>66</v>
      </c>
      <c r="D41" s="27" t="s">
        <v>69</v>
      </c>
      <c r="E41" s="27" t="s">
        <v>61</v>
      </c>
      <c r="F41" s="28">
        <v>0</v>
      </c>
      <c r="G41" s="31">
        <v>2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B41" s="35">
        <v>9</v>
      </c>
      <c r="AC41" s="35">
        <v>1</v>
      </c>
      <c r="AD41" s="35">
        <v>1</v>
      </c>
      <c r="AE41" s="35">
        <v>1</v>
      </c>
      <c r="AF41" s="32">
        <v>0</v>
      </c>
      <c r="AG41" s="35">
        <v>4</v>
      </c>
    </row>
    <row r="42" spans="2:33" s="2" customFormat="1" ht="49.5" customHeight="1" x14ac:dyDescent="0.25">
      <c r="B42" s="29" t="s">
        <v>59</v>
      </c>
      <c r="C42" s="27" t="s">
        <v>66</v>
      </c>
      <c r="D42" s="27" t="s">
        <v>188</v>
      </c>
      <c r="E42" s="27" t="s">
        <v>61</v>
      </c>
      <c r="F42" s="28">
        <v>0</v>
      </c>
      <c r="G42" s="31">
        <v>3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B42" s="35">
        <v>11</v>
      </c>
      <c r="AC42" s="35">
        <v>1</v>
      </c>
      <c r="AD42" s="35">
        <v>1</v>
      </c>
      <c r="AE42" s="35">
        <v>1</v>
      </c>
      <c r="AF42" s="32">
        <v>0</v>
      </c>
      <c r="AG42" s="35">
        <v>3</v>
      </c>
    </row>
    <row r="43" spans="2:33" s="2" customFormat="1" ht="49.5" customHeight="1" x14ac:dyDescent="0.25">
      <c r="B43" s="29" t="s">
        <v>59</v>
      </c>
      <c r="C43" s="27" t="s">
        <v>66</v>
      </c>
      <c r="D43" s="27" t="s">
        <v>189</v>
      </c>
      <c r="E43" s="27" t="s">
        <v>70</v>
      </c>
      <c r="F43" s="28">
        <v>0</v>
      </c>
      <c r="G43" s="31">
        <v>2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B43" s="35">
        <v>13</v>
      </c>
      <c r="AC43" s="35">
        <v>1</v>
      </c>
      <c r="AD43" s="35">
        <v>1</v>
      </c>
      <c r="AE43" s="35">
        <v>1</v>
      </c>
      <c r="AF43" s="32">
        <v>0</v>
      </c>
      <c r="AG43" s="35">
        <v>2</v>
      </c>
    </row>
    <row r="44" spans="2:33" s="2" customFormat="1" ht="49.5" customHeight="1" x14ac:dyDescent="0.25">
      <c r="B44" s="29" t="s">
        <v>59</v>
      </c>
      <c r="C44" s="27" t="s">
        <v>66</v>
      </c>
      <c r="D44" s="27" t="s">
        <v>190</v>
      </c>
      <c r="E44" s="27" t="s">
        <v>71</v>
      </c>
      <c r="F44" s="28">
        <v>0</v>
      </c>
      <c r="G44" s="31">
        <v>1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B44" s="35">
        <v>8</v>
      </c>
      <c r="AC44" s="35">
        <v>1</v>
      </c>
      <c r="AD44" s="35">
        <v>1</v>
      </c>
      <c r="AE44" s="35">
        <v>1</v>
      </c>
      <c r="AF44" s="32">
        <v>0</v>
      </c>
      <c r="AG44" s="35">
        <v>1</v>
      </c>
    </row>
    <row r="45" spans="2:33" s="2" customFormat="1" ht="49.5" customHeight="1" x14ac:dyDescent="0.25">
      <c r="B45" s="29" t="s">
        <v>59</v>
      </c>
      <c r="C45" s="27" t="s">
        <v>66</v>
      </c>
      <c r="D45" s="27" t="s">
        <v>72</v>
      </c>
      <c r="E45" s="27" t="s">
        <v>73</v>
      </c>
      <c r="F45" s="28">
        <v>0</v>
      </c>
      <c r="G45" s="31">
        <v>1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</row>
    <row r="46" spans="2:33" s="2" customFormat="1" ht="43.5" customHeight="1" x14ac:dyDescent="0.25">
      <c r="B46" s="29" t="s">
        <v>59</v>
      </c>
      <c r="C46" s="27" t="s">
        <v>155</v>
      </c>
      <c r="D46" s="27" t="s">
        <v>191</v>
      </c>
      <c r="E46" s="27" t="s">
        <v>71</v>
      </c>
      <c r="F46" s="28">
        <v>0</v>
      </c>
      <c r="G46" s="31">
        <v>2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58">
        <f>(AA48/30)*24</f>
        <v>372850498.59629101</v>
      </c>
      <c r="AB46" s="35">
        <v>8</v>
      </c>
      <c r="AC46" s="35">
        <v>1</v>
      </c>
      <c r="AD46" s="35">
        <v>1</v>
      </c>
      <c r="AE46" s="35">
        <v>1</v>
      </c>
      <c r="AF46" s="32">
        <v>0</v>
      </c>
      <c r="AG46" s="35">
        <v>3</v>
      </c>
    </row>
    <row r="47" spans="2:33" s="2" customFormat="1" ht="43.5" customHeight="1" x14ac:dyDescent="0.25">
      <c r="B47" s="29" t="s">
        <v>59</v>
      </c>
      <c r="C47" s="27" t="s">
        <v>155</v>
      </c>
      <c r="D47" s="27" t="s">
        <v>172</v>
      </c>
      <c r="E47" s="27" t="s">
        <v>61</v>
      </c>
      <c r="F47" s="28">
        <v>0</v>
      </c>
      <c r="G47" s="31">
        <v>3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32">
        <v>0</v>
      </c>
    </row>
    <row r="48" spans="2:33" s="2" customFormat="1" ht="43.5" customHeight="1" x14ac:dyDescent="0.25">
      <c r="B48" s="101" t="s">
        <v>59</v>
      </c>
      <c r="C48" s="102" t="s">
        <v>155</v>
      </c>
      <c r="D48" s="102" t="s">
        <v>173</v>
      </c>
      <c r="E48" s="102" t="s">
        <v>127</v>
      </c>
      <c r="F48" s="100">
        <v>0</v>
      </c>
      <c r="G48" s="103">
        <v>5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58">
        <f>+(G49*G97)+(H49*H97)+(P49*P97)+(Q49*Q97)+(Y49*Y97)</f>
        <v>466063123.24536371</v>
      </c>
      <c r="AB48" s="32">
        <v>0</v>
      </c>
      <c r="AC48" s="32">
        <v>0</v>
      </c>
      <c r="AD48" s="32">
        <v>0</v>
      </c>
      <c r="AE48" s="32">
        <v>0</v>
      </c>
      <c r="AF48" s="32">
        <v>0</v>
      </c>
      <c r="AG48" s="32">
        <v>0</v>
      </c>
    </row>
    <row r="49" spans="2:33" s="53" customFormat="1" ht="19.5" customHeight="1" x14ac:dyDescent="0.25">
      <c r="B49" s="165" t="s">
        <v>74</v>
      </c>
      <c r="C49" s="165"/>
      <c r="D49" s="165"/>
      <c r="E49" s="165"/>
      <c r="F49" s="85">
        <f t="shared" ref="F49:Z49" si="6">SUM(F34:F48)</f>
        <v>0</v>
      </c>
      <c r="G49" s="85">
        <f t="shared" si="6"/>
        <v>29</v>
      </c>
      <c r="H49" s="85">
        <f t="shared" si="6"/>
        <v>1</v>
      </c>
      <c r="I49" s="85">
        <f t="shared" si="6"/>
        <v>0</v>
      </c>
      <c r="J49" s="85">
        <f t="shared" si="6"/>
        <v>0</v>
      </c>
      <c r="K49" s="85">
        <f t="shared" si="6"/>
        <v>0</v>
      </c>
      <c r="L49" s="85">
        <f t="shared" si="6"/>
        <v>0</v>
      </c>
      <c r="M49" s="85">
        <f t="shared" si="6"/>
        <v>0</v>
      </c>
      <c r="N49" s="85">
        <f t="shared" si="6"/>
        <v>0</v>
      </c>
      <c r="O49" s="85">
        <f t="shared" si="6"/>
        <v>0</v>
      </c>
      <c r="P49" s="85">
        <f t="shared" si="6"/>
        <v>1</v>
      </c>
      <c r="Q49" s="85">
        <f t="shared" si="6"/>
        <v>2</v>
      </c>
      <c r="R49" s="85">
        <f t="shared" si="6"/>
        <v>0</v>
      </c>
      <c r="S49" s="85">
        <f t="shared" si="6"/>
        <v>0</v>
      </c>
      <c r="T49" s="85">
        <f t="shared" si="6"/>
        <v>0</v>
      </c>
      <c r="U49" s="85">
        <f t="shared" si="6"/>
        <v>0</v>
      </c>
      <c r="V49" s="85">
        <f t="shared" si="6"/>
        <v>0</v>
      </c>
      <c r="W49" s="85">
        <f t="shared" si="6"/>
        <v>0</v>
      </c>
      <c r="X49" s="85">
        <f t="shared" si="6"/>
        <v>0</v>
      </c>
      <c r="Y49" s="85">
        <f t="shared" si="6"/>
        <v>1</v>
      </c>
      <c r="Z49" s="85">
        <f t="shared" si="6"/>
        <v>0</v>
      </c>
      <c r="AA49" s="86">
        <f>SUM(F49:Z49)</f>
        <v>34</v>
      </c>
      <c r="AB49" s="87">
        <f>SUM(AB34:AB48)</f>
        <v>108</v>
      </c>
      <c r="AC49" s="87">
        <f t="shared" ref="AC49:AG49" si="7">SUM(AC34:AC48)</f>
        <v>10</v>
      </c>
      <c r="AD49" s="87">
        <f t="shared" si="7"/>
        <v>8</v>
      </c>
      <c r="AE49" s="87">
        <f t="shared" si="7"/>
        <v>6</v>
      </c>
      <c r="AF49" s="87">
        <f t="shared" si="7"/>
        <v>0</v>
      </c>
      <c r="AG49" s="87">
        <f t="shared" si="7"/>
        <v>18</v>
      </c>
    </row>
    <row r="50" spans="2:33" s="2" customFormat="1" ht="49.5" customHeight="1" x14ac:dyDescent="0.25">
      <c r="B50" s="29" t="s">
        <v>75</v>
      </c>
      <c r="C50" s="27" t="s">
        <v>198</v>
      </c>
      <c r="D50" s="27" t="s">
        <v>196</v>
      </c>
      <c r="E50" s="27" t="s">
        <v>128</v>
      </c>
      <c r="F50" s="28">
        <v>0</v>
      </c>
      <c r="G50" s="31">
        <v>7</v>
      </c>
      <c r="H50" s="31">
        <v>1</v>
      </c>
      <c r="I50" s="28"/>
      <c r="J50" s="28"/>
      <c r="K50" s="28"/>
      <c r="L50" s="28">
        <v>0</v>
      </c>
      <c r="M50" s="28">
        <v>0</v>
      </c>
      <c r="N50" s="28">
        <v>0</v>
      </c>
      <c r="O50" s="28">
        <v>0</v>
      </c>
      <c r="P50" s="31">
        <v>1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B50" s="35">
        <v>45</v>
      </c>
      <c r="AC50" s="35">
        <v>2</v>
      </c>
      <c r="AD50" s="35">
        <v>2</v>
      </c>
      <c r="AE50" s="35">
        <v>2</v>
      </c>
      <c r="AF50" s="32">
        <v>0</v>
      </c>
      <c r="AG50" s="35">
        <v>1</v>
      </c>
    </row>
    <row r="51" spans="2:33" s="2" customFormat="1" ht="43.5" customHeight="1" x14ac:dyDescent="0.25">
      <c r="B51" s="29" t="s">
        <v>75</v>
      </c>
      <c r="C51" s="27" t="s">
        <v>198</v>
      </c>
      <c r="D51" s="27" t="s">
        <v>76</v>
      </c>
      <c r="E51" s="27" t="s">
        <v>128</v>
      </c>
      <c r="F51" s="28">
        <v>0</v>
      </c>
      <c r="G51" s="31">
        <v>1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31">
        <v>1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B51" s="35">
        <v>6</v>
      </c>
      <c r="AC51" s="35">
        <v>1</v>
      </c>
      <c r="AD51" s="35">
        <v>1</v>
      </c>
      <c r="AE51" s="35">
        <v>1</v>
      </c>
      <c r="AF51" s="32">
        <v>0</v>
      </c>
      <c r="AG51" s="35">
        <v>1</v>
      </c>
    </row>
    <row r="52" spans="2:33" s="2" customFormat="1" ht="43.5" customHeight="1" x14ac:dyDescent="0.25">
      <c r="B52" s="29" t="s">
        <v>75</v>
      </c>
      <c r="C52" s="27" t="s">
        <v>198</v>
      </c>
      <c r="D52" s="27" t="s">
        <v>156</v>
      </c>
      <c r="E52" s="27" t="s">
        <v>128</v>
      </c>
      <c r="F52" s="28">
        <v>0</v>
      </c>
      <c r="G52" s="31">
        <v>3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B52" s="35">
        <f>25</f>
        <v>25</v>
      </c>
      <c r="AC52" s="32">
        <v>0</v>
      </c>
      <c r="AD52" s="35">
        <f>2</f>
        <v>2</v>
      </c>
      <c r="AE52" s="35">
        <v>2</v>
      </c>
      <c r="AF52" s="32">
        <v>0</v>
      </c>
      <c r="AG52" s="35">
        <v>1</v>
      </c>
    </row>
    <row r="53" spans="2:33" s="2" customFormat="1" ht="49.5" customHeight="1" x14ac:dyDescent="0.25">
      <c r="B53" s="29" t="s">
        <v>75</v>
      </c>
      <c r="C53" s="27" t="s">
        <v>169</v>
      </c>
      <c r="D53" s="27" t="s">
        <v>157</v>
      </c>
      <c r="E53" s="27" t="s">
        <v>128</v>
      </c>
      <c r="F53" s="28">
        <v>0</v>
      </c>
      <c r="G53" s="31">
        <v>6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B53" s="35">
        <v>25</v>
      </c>
      <c r="AC53" s="35">
        <v>1</v>
      </c>
      <c r="AD53" s="35">
        <v>1</v>
      </c>
      <c r="AE53" s="35">
        <v>1</v>
      </c>
      <c r="AF53" s="32">
        <v>0</v>
      </c>
      <c r="AG53" s="35">
        <v>1</v>
      </c>
    </row>
    <row r="54" spans="2:33" s="2" customFormat="1" ht="43.5" customHeight="1" x14ac:dyDescent="0.25">
      <c r="B54" s="29" t="s">
        <v>75</v>
      </c>
      <c r="C54" s="27" t="s">
        <v>198</v>
      </c>
      <c r="D54" s="27" t="s">
        <v>170</v>
      </c>
      <c r="E54" s="27" t="s">
        <v>159</v>
      </c>
      <c r="F54" s="28">
        <v>0</v>
      </c>
      <c r="G54" s="31">
        <v>4</v>
      </c>
      <c r="H54" s="31">
        <v>1</v>
      </c>
      <c r="I54" s="28"/>
      <c r="J54" s="28"/>
      <c r="K54" s="28"/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58">
        <f>(AA56/30)*24</f>
        <v>380992128.69484544</v>
      </c>
      <c r="AB54" s="32">
        <v>0</v>
      </c>
      <c r="AC54" s="32">
        <v>0</v>
      </c>
      <c r="AD54" s="32">
        <v>0</v>
      </c>
      <c r="AE54" s="32">
        <v>0</v>
      </c>
      <c r="AF54" s="32">
        <v>0</v>
      </c>
      <c r="AG54" s="32">
        <v>0</v>
      </c>
    </row>
    <row r="55" spans="2:33" s="2" customFormat="1" ht="49.5" customHeight="1" x14ac:dyDescent="0.25">
      <c r="B55" s="29" t="s">
        <v>75</v>
      </c>
      <c r="C55" s="27" t="s">
        <v>169</v>
      </c>
      <c r="D55" s="27" t="s">
        <v>158</v>
      </c>
      <c r="E55" s="27" t="s">
        <v>129</v>
      </c>
      <c r="F55" s="28">
        <v>0</v>
      </c>
      <c r="G55" s="31">
        <v>7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B55" s="35">
        <v>15</v>
      </c>
      <c r="AC55" s="35">
        <v>1</v>
      </c>
      <c r="AD55" s="35">
        <v>1</v>
      </c>
      <c r="AE55" s="35">
        <v>1</v>
      </c>
      <c r="AF55" s="32">
        <v>0</v>
      </c>
      <c r="AG55" s="35">
        <v>1</v>
      </c>
    </row>
    <row r="56" spans="2:33" s="2" customFormat="1" ht="49.5" customHeight="1" x14ac:dyDescent="0.25">
      <c r="B56" s="29" t="s">
        <v>75</v>
      </c>
      <c r="C56" s="27" t="s">
        <v>169</v>
      </c>
      <c r="D56" s="27" t="s">
        <v>174</v>
      </c>
      <c r="E56" s="27" t="s">
        <v>129</v>
      </c>
      <c r="F56" s="28">
        <v>0</v>
      </c>
      <c r="G56" s="31">
        <v>1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1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58">
        <f>+(G57*G97)+(H57*H97)+(P57*P97)</f>
        <v>476240160.86855686</v>
      </c>
      <c r="AB56" s="35">
        <v>5</v>
      </c>
      <c r="AC56" s="35">
        <v>0</v>
      </c>
      <c r="AD56" s="35">
        <v>1</v>
      </c>
      <c r="AE56" s="35">
        <v>1</v>
      </c>
      <c r="AF56" s="32">
        <v>0</v>
      </c>
      <c r="AG56" s="35">
        <v>1</v>
      </c>
    </row>
    <row r="57" spans="2:33" s="53" customFormat="1" ht="19.5" customHeight="1" x14ac:dyDescent="0.25">
      <c r="B57" s="165" t="s">
        <v>77</v>
      </c>
      <c r="C57" s="165"/>
      <c r="D57" s="165"/>
      <c r="E57" s="165"/>
      <c r="F57" s="85">
        <f>SUM(F50:F56)</f>
        <v>0</v>
      </c>
      <c r="G57" s="85">
        <f>SUM(G50:G56)</f>
        <v>29</v>
      </c>
      <c r="H57" s="85">
        <f t="shared" ref="H57:Z57" si="8">SUM(H50:H56)</f>
        <v>2</v>
      </c>
      <c r="I57" s="85">
        <f t="shared" si="8"/>
        <v>0</v>
      </c>
      <c r="J57" s="85">
        <f t="shared" si="8"/>
        <v>0</v>
      </c>
      <c r="K57" s="85">
        <f t="shared" si="8"/>
        <v>0</v>
      </c>
      <c r="L57" s="85">
        <f t="shared" si="8"/>
        <v>0</v>
      </c>
      <c r="M57" s="85">
        <f t="shared" si="8"/>
        <v>0</v>
      </c>
      <c r="N57" s="85">
        <f t="shared" si="8"/>
        <v>0</v>
      </c>
      <c r="O57" s="85">
        <f t="shared" si="8"/>
        <v>0</v>
      </c>
      <c r="P57" s="85">
        <f t="shared" si="8"/>
        <v>3</v>
      </c>
      <c r="Q57" s="85">
        <f t="shared" si="8"/>
        <v>0</v>
      </c>
      <c r="R57" s="85">
        <f t="shared" si="8"/>
        <v>0</v>
      </c>
      <c r="S57" s="85">
        <f t="shared" si="8"/>
        <v>0</v>
      </c>
      <c r="T57" s="85">
        <f t="shared" si="8"/>
        <v>0</v>
      </c>
      <c r="U57" s="85">
        <f t="shared" si="8"/>
        <v>0</v>
      </c>
      <c r="V57" s="85">
        <f t="shared" si="8"/>
        <v>0</v>
      </c>
      <c r="W57" s="85">
        <f t="shared" si="8"/>
        <v>0</v>
      </c>
      <c r="X57" s="85">
        <f t="shared" si="8"/>
        <v>0</v>
      </c>
      <c r="Y57" s="85">
        <f t="shared" si="8"/>
        <v>0</v>
      </c>
      <c r="Z57" s="85">
        <f t="shared" si="8"/>
        <v>0</v>
      </c>
      <c r="AA57" s="86">
        <f>SUM(F57:Z57)</f>
        <v>34</v>
      </c>
      <c r="AB57" s="88">
        <f>SUM(AB50:AB56)</f>
        <v>121</v>
      </c>
      <c r="AC57" s="88">
        <f t="shared" ref="AC57:AG57" si="9">SUM(AC50:AC56)</f>
        <v>5</v>
      </c>
      <c r="AD57" s="88">
        <f t="shared" si="9"/>
        <v>8</v>
      </c>
      <c r="AE57" s="88">
        <f t="shared" si="9"/>
        <v>8</v>
      </c>
      <c r="AF57" s="88">
        <f t="shared" si="9"/>
        <v>0</v>
      </c>
      <c r="AG57" s="88">
        <f t="shared" si="9"/>
        <v>6</v>
      </c>
    </row>
    <row r="58" spans="2:33" s="2" customFormat="1" ht="49.5" customHeight="1" x14ac:dyDescent="0.25">
      <c r="B58" s="29" t="s">
        <v>78</v>
      </c>
      <c r="C58" s="27" t="s">
        <v>33</v>
      </c>
      <c r="D58" s="27" t="s">
        <v>160</v>
      </c>
      <c r="E58" s="27" t="s">
        <v>119</v>
      </c>
      <c r="F58" s="28">
        <v>0</v>
      </c>
      <c r="G58" s="31">
        <v>5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B58" s="35">
        <v>26</v>
      </c>
      <c r="AC58" s="35">
        <v>3</v>
      </c>
      <c r="AD58" s="35">
        <v>1</v>
      </c>
      <c r="AE58" s="35">
        <v>1</v>
      </c>
      <c r="AF58" s="35">
        <v>1</v>
      </c>
      <c r="AG58" s="35">
        <v>2</v>
      </c>
    </row>
    <row r="59" spans="2:33" s="2" customFormat="1" ht="49.5" customHeight="1" x14ac:dyDescent="0.25">
      <c r="B59" s="29" t="s">
        <v>78</v>
      </c>
      <c r="C59" s="27" t="s">
        <v>43</v>
      </c>
      <c r="D59" s="27" t="s">
        <v>164</v>
      </c>
      <c r="E59" s="27" t="s">
        <v>119</v>
      </c>
      <c r="F59" s="28">
        <v>0</v>
      </c>
      <c r="G59" s="31">
        <v>1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B59" s="32">
        <v>0</v>
      </c>
      <c r="AC59" s="32">
        <v>0</v>
      </c>
      <c r="AD59" s="32">
        <v>0</v>
      </c>
      <c r="AE59" s="32">
        <v>0</v>
      </c>
      <c r="AF59" s="32">
        <v>0</v>
      </c>
      <c r="AG59" s="32">
        <v>0</v>
      </c>
    </row>
    <row r="60" spans="2:33" s="2" customFormat="1" ht="44.25" customHeight="1" x14ac:dyDescent="0.25">
      <c r="B60" s="30" t="s">
        <v>78</v>
      </c>
      <c r="C60" s="27" t="s">
        <v>79</v>
      </c>
      <c r="D60" s="27" t="s">
        <v>161</v>
      </c>
      <c r="E60" s="27" t="s">
        <v>119</v>
      </c>
      <c r="F60" s="28">
        <v>0</v>
      </c>
      <c r="G60" s="36">
        <v>1</v>
      </c>
      <c r="H60" s="31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B60" s="32">
        <v>0</v>
      </c>
      <c r="AC60" s="32">
        <v>0</v>
      </c>
      <c r="AD60" s="32">
        <v>0</v>
      </c>
      <c r="AE60" s="32">
        <v>0</v>
      </c>
      <c r="AF60" s="32">
        <v>0</v>
      </c>
      <c r="AG60" s="32">
        <v>0</v>
      </c>
    </row>
    <row r="61" spans="2:33" s="2" customFormat="1" ht="44.25" customHeight="1" x14ac:dyDescent="0.25">
      <c r="B61" s="30" t="s">
        <v>78</v>
      </c>
      <c r="C61" s="27" t="s">
        <v>79</v>
      </c>
      <c r="D61" s="27" t="s">
        <v>162</v>
      </c>
      <c r="E61" s="27" t="s">
        <v>119</v>
      </c>
      <c r="F61" s="28">
        <v>0</v>
      </c>
      <c r="G61" s="36">
        <v>3</v>
      </c>
      <c r="H61" s="31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B61" s="35">
        <v>16</v>
      </c>
      <c r="AC61" s="32">
        <v>0</v>
      </c>
      <c r="AD61" s="35">
        <v>1</v>
      </c>
      <c r="AE61" s="35">
        <v>1</v>
      </c>
      <c r="AF61" s="35">
        <v>1</v>
      </c>
      <c r="AG61" s="35">
        <v>1</v>
      </c>
    </row>
    <row r="62" spans="2:33" s="2" customFormat="1" ht="44.25" customHeight="1" x14ac:dyDescent="0.25">
      <c r="B62" s="30" t="s">
        <v>78</v>
      </c>
      <c r="C62" s="27" t="s">
        <v>79</v>
      </c>
      <c r="D62" s="27" t="s">
        <v>163</v>
      </c>
      <c r="E62" s="27" t="s">
        <v>119</v>
      </c>
      <c r="F62" s="28">
        <v>0</v>
      </c>
      <c r="G62" s="36">
        <v>1</v>
      </c>
      <c r="H62" s="31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B62" s="32">
        <v>0</v>
      </c>
      <c r="AC62" s="32">
        <v>0</v>
      </c>
      <c r="AD62" s="32">
        <v>0</v>
      </c>
      <c r="AE62" s="32">
        <v>0</v>
      </c>
      <c r="AF62" s="32">
        <v>0</v>
      </c>
      <c r="AG62" s="32">
        <v>0</v>
      </c>
    </row>
    <row r="63" spans="2:33" s="2" customFormat="1" ht="44.25" customHeight="1" x14ac:dyDescent="0.25">
      <c r="B63" s="30" t="s">
        <v>78</v>
      </c>
      <c r="C63" s="27" t="s">
        <v>79</v>
      </c>
      <c r="D63" s="27" t="s">
        <v>80</v>
      </c>
      <c r="E63" s="27" t="s">
        <v>119</v>
      </c>
      <c r="F63" s="28">
        <v>0</v>
      </c>
      <c r="G63" s="36">
        <v>2</v>
      </c>
      <c r="H63" s="31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B63" s="35">
        <v>23</v>
      </c>
      <c r="AC63" s="32">
        <v>0</v>
      </c>
      <c r="AD63" s="35">
        <v>1</v>
      </c>
      <c r="AE63" s="35">
        <v>1</v>
      </c>
      <c r="AF63" s="35">
        <v>1</v>
      </c>
      <c r="AG63" s="35">
        <v>1</v>
      </c>
    </row>
    <row r="64" spans="2:33" s="2" customFormat="1" ht="49.5" customHeight="1" x14ac:dyDescent="0.25">
      <c r="B64" s="29" t="s">
        <v>78</v>
      </c>
      <c r="C64" s="27" t="s">
        <v>81</v>
      </c>
      <c r="D64" s="27" t="s">
        <v>82</v>
      </c>
      <c r="E64" s="27" t="s">
        <v>130</v>
      </c>
      <c r="F64" s="28">
        <v>0</v>
      </c>
      <c r="G64" s="31">
        <v>4</v>
      </c>
      <c r="H64" s="28">
        <v>0</v>
      </c>
      <c r="I64" s="28">
        <v>0</v>
      </c>
      <c r="J64" s="28">
        <v>0</v>
      </c>
      <c r="K64" s="28">
        <v>0</v>
      </c>
      <c r="L64" s="31">
        <v>1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31">
        <v>1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B64" s="35">
        <v>28</v>
      </c>
      <c r="AC64" s="35">
        <v>4</v>
      </c>
      <c r="AD64" s="35">
        <v>2</v>
      </c>
      <c r="AE64" s="35">
        <v>2</v>
      </c>
      <c r="AF64" s="35">
        <v>2</v>
      </c>
      <c r="AG64" s="35">
        <v>5</v>
      </c>
    </row>
    <row r="65" spans="2:33" s="2" customFormat="1" ht="49.5" customHeight="1" x14ac:dyDescent="0.25">
      <c r="B65" s="29" t="s">
        <v>78</v>
      </c>
      <c r="C65" s="27" t="s">
        <v>83</v>
      </c>
      <c r="D65" s="27" t="s">
        <v>141</v>
      </c>
      <c r="E65" s="27" t="s">
        <v>131</v>
      </c>
      <c r="F65" s="31">
        <v>2</v>
      </c>
      <c r="G65" s="31">
        <v>3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B65" s="35">
        <v>19</v>
      </c>
      <c r="AC65" s="35">
        <v>4</v>
      </c>
      <c r="AD65" s="35">
        <v>2</v>
      </c>
      <c r="AE65" s="35">
        <v>2</v>
      </c>
      <c r="AF65" s="35">
        <v>2</v>
      </c>
      <c r="AG65" s="35">
        <v>5</v>
      </c>
    </row>
    <row r="66" spans="2:33" s="2" customFormat="1" ht="44.25" customHeight="1" x14ac:dyDescent="0.25">
      <c r="B66" s="30" t="s">
        <v>78</v>
      </c>
      <c r="C66" s="27" t="s">
        <v>84</v>
      </c>
      <c r="D66" s="27" t="s">
        <v>85</v>
      </c>
      <c r="E66" s="27" t="s">
        <v>132</v>
      </c>
      <c r="F66" s="36">
        <v>1</v>
      </c>
      <c r="G66" s="36">
        <v>5</v>
      </c>
      <c r="H66" s="31">
        <v>1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B66" s="35">
        <v>67</v>
      </c>
      <c r="AC66" s="35">
        <v>2</v>
      </c>
      <c r="AD66" s="35">
        <v>3</v>
      </c>
      <c r="AE66" s="35">
        <v>3</v>
      </c>
      <c r="AF66" s="35">
        <v>1</v>
      </c>
      <c r="AG66" s="35">
        <v>3</v>
      </c>
    </row>
    <row r="67" spans="2:33" s="2" customFormat="1" ht="44.25" customHeight="1" x14ac:dyDescent="0.25">
      <c r="B67" s="30" t="s">
        <v>78</v>
      </c>
      <c r="C67" s="27" t="s">
        <v>84</v>
      </c>
      <c r="D67" s="27" t="s">
        <v>140</v>
      </c>
      <c r="E67" s="27" t="s">
        <v>132</v>
      </c>
      <c r="F67" s="28">
        <v>0</v>
      </c>
      <c r="G67" s="36">
        <v>1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B67" s="35">
        <v>8</v>
      </c>
      <c r="AC67" s="35">
        <v>1</v>
      </c>
      <c r="AD67" s="35">
        <v>1</v>
      </c>
      <c r="AE67" s="35">
        <v>1</v>
      </c>
      <c r="AF67" s="32">
        <v>0</v>
      </c>
      <c r="AG67" s="32">
        <v>0</v>
      </c>
    </row>
    <row r="68" spans="2:33" s="2" customFormat="1" ht="44.25" customHeight="1" x14ac:dyDescent="0.25">
      <c r="B68" s="30" t="s">
        <v>78</v>
      </c>
      <c r="C68" s="27" t="s">
        <v>84</v>
      </c>
      <c r="D68" s="27" t="s">
        <v>86</v>
      </c>
      <c r="E68" s="27" t="s">
        <v>132</v>
      </c>
      <c r="F68" s="28">
        <v>0</v>
      </c>
      <c r="G68" s="36">
        <v>2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B68" s="32">
        <v>0</v>
      </c>
      <c r="AC68" s="32">
        <v>0</v>
      </c>
      <c r="AD68" s="32">
        <v>0</v>
      </c>
      <c r="AE68" s="32">
        <v>0</v>
      </c>
      <c r="AF68" s="32">
        <v>0</v>
      </c>
      <c r="AG68" s="32">
        <v>0</v>
      </c>
    </row>
    <row r="69" spans="2:33" s="2" customFormat="1" ht="49.5" customHeight="1" x14ac:dyDescent="0.25">
      <c r="B69" s="29" t="s">
        <v>78</v>
      </c>
      <c r="C69" s="27" t="s">
        <v>87</v>
      </c>
      <c r="D69" s="27" t="s">
        <v>165</v>
      </c>
      <c r="E69" s="27" t="s">
        <v>132</v>
      </c>
      <c r="F69" s="28">
        <v>0</v>
      </c>
      <c r="G69" s="31">
        <v>2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B69" s="35">
        <v>13</v>
      </c>
      <c r="AC69" s="35">
        <v>3</v>
      </c>
      <c r="AD69" s="35">
        <v>1</v>
      </c>
      <c r="AE69" s="35">
        <v>1</v>
      </c>
      <c r="AF69" s="32">
        <v>0</v>
      </c>
      <c r="AG69" s="32">
        <v>0</v>
      </c>
    </row>
    <row r="70" spans="2:33" s="2" customFormat="1" ht="49.5" customHeight="1" x14ac:dyDescent="0.25">
      <c r="B70" s="29" t="s">
        <v>78</v>
      </c>
      <c r="C70" s="27" t="s">
        <v>87</v>
      </c>
      <c r="D70" s="27" t="s">
        <v>142</v>
      </c>
      <c r="E70" s="27" t="s">
        <v>132</v>
      </c>
      <c r="F70" s="28">
        <v>0</v>
      </c>
      <c r="G70" s="31">
        <v>1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B70" s="32">
        <v>0</v>
      </c>
      <c r="AC70" s="32">
        <v>0</v>
      </c>
      <c r="AD70" s="32">
        <v>0</v>
      </c>
      <c r="AE70" s="32">
        <v>0</v>
      </c>
      <c r="AF70" s="32">
        <v>0</v>
      </c>
      <c r="AG70" s="32">
        <v>0</v>
      </c>
    </row>
    <row r="71" spans="2:33" s="2" customFormat="1" ht="49.5" customHeight="1" x14ac:dyDescent="0.25">
      <c r="B71" s="29" t="s">
        <v>78</v>
      </c>
      <c r="C71" s="27" t="s">
        <v>87</v>
      </c>
      <c r="D71" s="27" t="s">
        <v>88</v>
      </c>
      <c r="E71" s="27" t="s">
        <v>133</v>
      </c>
      <c r="F71" s="28">
        <v>0</v>
      </c>
      <c r="G71" s="31">
        <v>3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31">
        <v>1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B71" s="35">
        <v>28</v>
      </c>
      <c r="AC71" s="35">
        <v>4</v>
      </c>
      <c r="AD71" s="32">
        <v>0</v>
      </c>
      <c r="AE71" s="32">
        <v>0</v>
      </c>
      <c r="AF71" s="35">
        <v>1</v>
      </c>
      <c r="AG71" s="35">
        <v>1</v>
      </c>
    </row>
    <row r="72" spans="2:33" s="2" customFormat="1" ht="49.5" customHeight="1" x14ac:dyDescent="0.25">
      <c r="B72" s="29" t="s">
        <v>78</v>
      </c>
      <c r="C72" s="27" t="s">
        <v>87</v>
      </c>
      <c r="D72" s="27" t="s">
        <v>192</v>
      </c>
      <c r="E72" s="27" t="s">
        <v>119</v>
      </c>
      <c r="F72" s="28">
        <v>0</v>
      </c>
      <c r="G72" s="31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31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B72" s="32">
        <v>0</v>
      </c>
      <c r="AC72" s="32">
        <v>0</v>
      </c>
      <c r="AD72" s="32">
        <v>0</v>
      </c>
      <c r="AE72" s="32">
        <v>0</v>
      </c>
      <c r="AF72" s="32">
        <v>0</v>
      </c>
      <c r="AG72" s="32">
        <v>0</v>
      </c>
    </row>
    <row r="73" spans="2:33" s="2" customFormat="1" ht="37.5" customHeight="1" x14ac:dyDescent="0.25">
      <c r="B73" s="30" t="s">
        <v>78</v>
      </c>
      <c r="C73" s="27" t="s">
        <v>89</v>
      </c>
      <c r="D73" s="27" t="s">
        <v>175</v>
      </c>
      <c r="E73" s="27" t="s">
        <v>120</v>
      </c>
      <c r="F73" s="33">
        <v>0</v>
      </c>
      <c r="G73" s="37">
        <v>3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34">
        <v>0</v>
      </c>
      <c r="V73" s="34">
        <v>0</v>
      </c>
      <c r="W73" s="34">
        <v>0</v>
      </c>
      <c r="X73" s="28">
        <v>0</v>
      </c>
      <c r="Y73" s="28">
        <v>0</v>
      </c>
      <c r="Z73" s="28">
        <v>0</v>
      </c>
      <c r="AB73" s="35">
        <v>24</v>
      </c>
      <c r="AC73" s="35">
        <v>1</v>
      </c>
      <c r="AD73" s="35">
        <v>1</v>
      </c>
      <c r="AE73" s="35">
        <v>1</v>
      </c>
      <c r="AF73" s="32">
        <v>0</v>
      </c>
      <c r="AG73" s="35">
        <v>4</v>
      </c>
    </row>
    <row r="74" spans="2:33" s="2" customFormat="1" ht="37.5" customHeight="1" x14ac:dyDescent="0.25">
      <c r="B74" s="30" t="s">
        <v>78</v>
      </c>
      <c r="C74" s="27" t="s">
        <v>89</v>
      </c>
      <c r="D74" s="27" t="s">
        <v>176</v>
      </c>
      <c r="E74" s="27" t="s">
        <v>118</v>
      </c>
      <c r="F74" s="33">
        <v>0</v>
      </c>
      <c r="G74" s="37">
        <v>1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34">
        <v>0</v>
      </c>
      <c r="V74" s="34">
        <v>0</v>
      </c>
      <c r="W74" s="34">
        <v>0</v>
      </c>
      <c r="X74" s="28">
        <v>0</v>
      </c>
      <c r="Y74" s="28">
        <v>0</v>
      </c>
      <c r="Z74" s="28">
        <v>0</v>
      </c>
      <c r="AB74" s="35">
        <v>8</v>
      </c>
      <c r="AC74" s="32">
        <v>0</v>
      </c>
      <c r="AD74" s="35">
        <v>1</v>
      </c>
      <c r="AE74" s="35">
        <v>1</v>
      </c>
      <c r="AF74" s="32">
        <v>0</v>
      </c>
      <c r="AG74" s="35">
        <v>2</v>
      </c>
    </row>
    <row r="75" spans="2:33" s="2" customFormat="1" ht="49.5" customHeight="1" x14ac:dyDescent="0.25">
      <c r="B75" s="29" t="s">
        <v>78</v>
      </c>
      <c r="C75" s="27" t="s">
        <v>90</v>
      </c>
      <c r="D75" s="27" t="s">
        <v>177</v>
      </c>
      <c r="E75" s="27" t="s">
        <v>116</v>
      </c>
      <c r="F75" s="28">
        <v>0</v>
      </c>
      <c r="G75" s="31">
        <v>3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B75" s="35">
        <v>9</v>
      </c>
      <c r="AC75" s="35">
        <v>2</v>
      </c>
      <c r="AD75" s="35">
        <v>1</v>
      </c>
      <c r="AE75" s="35">
        <v>1</v>
      </c>
      <c r="AF75" s="35">
        <v>1</v>
      </c>
      <c r="AG75" s="35">
        <v>2</v>
      </c>
    </row>
    <row r="76" spans="2:33" s="2" customFormat="1" ht="49.5" customHeight="1" x14ac:dyDescent="0.25">
      <c r="B76" s="29" t="s">
        <v>78</v>
      </c>
      <c r="C76" s="27" t="s">
        <v>91</v>
      </c>
      <c r="D76" s="27" t="s">
        <v>166</v>
      </c>
      <c r="E76" s="27" t="s">
        <v>117</v>
      </c>
      <c r="F76" s="28">
        <v>0</v>
      </c>
      <c r="G76" s="31">
        <v>3</v>
      </c>
      <c r="H76" s="28">
        <v>0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B76" s="35">
        <v>11</v>
      </c>
      <c r="AC76" s="35">
        <v>2</v>
      </c>
      <c r="AD76" s="35">
        <v>1</v>
      </c>
      <c r="AE76" s="35">
        <v>1</v>
      </c>
      <c r="AF76" s="32">
        <v>0</v>
      </c>
      <c r="AG76" s="35">
        <v>6</v>
      </c>
    </row>
    <row r="77" spans="2:33" s="2" customFormat="1" ht="49.5" customHeight="1" x14ac:dyDescent="0.25">
      <c r="B77" s="29" t="s">
        <v>78</v>
      </c>
      <c r="C77" s="27" t="s">
        <v>91</v>
      </c>
      <c r="D77" s="27" t="s">
        <v>199</v>
      </c>
      <c r="E77" s="27" t="s">
        <v>116</v>
      </c>
      <c r="F77" s="28">
        <v>0</v>
      </c>
      <c r="G77" s="31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31">
        <v>1</v>
      </c>
      <c r="X77" s="28">
        <v>0</v>
      </c>
      <c r="Y77" s="28">
        <v>0</v>
      </c>
      <c r="Z77" s="28">
        <v>0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32">
        <v>0</v>
      </c>
    </row>
    <row r="78" spans="2:33" s="2" customFormat="1" ht="49.5" customHeight="1" x14ac:dyDescent="0.25">
      <c r="B78" s="29" t="s">
        <v>78</v>
      </c>
      <c r="C78" s="27" t="s">
        <v>91</v>
      </c>
      <c r="D78" s="27" t="s">
        <v>92</v>
      </c>
      <c r="E78" s="27" t="s">
        <v>134</v>
      </c>
      <c r="F78" s="28">
        <v>0</v>
      </c>
      <c r="G78" s="31">
        <v>1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B78" s="35">
        <v>5</v>
      </c>
      <c r="AC78" s="35">
        <v>2</v>
      </c>
      <c r="AD78" s="35">
        <v>1</v>
      </c>
      <c r="AE78" s="35">
        <v>1</v>
      </c>
      <c r="AF78" s="32">
        <v>0</v>
      </c>
      <c r="AG78" s="35">
        <v>1</v>
      </c>
    </row>
    <row r="79" spans="2:33" s="2" customFormat="1" ht="44.25" customHeight="1" x14ac:dyDescent="0.25">
      <c r="B79" s="30" t="s">
        <v>78</v>
      </c>
      <c r="C79" s="27" t="s">
        <v>93</v>
      </c>
      <c r="D79" s="27" t="s">
        <v>167</v>
      </c>
      <c r="E79" s="27" t="s">
        <v>135</v>
      </c>
      <c r="F79" s="28">
        <v>0</v>
      </c>
      <c r="G79" s="36">
        <v>3</v>
      </c>
      <c r="H79" s="31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B79" s="35">
        <v>19</v>
      </c>
      <c r="AC79" s="32">
        <v>0</v>
      </c>
      <c r="AD79" s="35">
        <v>1</v>
      </c>
      <c r="AE79" s="35">
        <v>1</v>
      </c>
      <c r="AF79" s="32">
        <v>0</v>
      </c>
      <c r="AG79" s="35">
        <v>2</v>
      </c>
    </row>
    <row r="80" spans="2:33" s="2" customFormat="1" ht="44.25" customHeight="1" x14ac:dyDescent="0.25">
      <c r="B80" s="30" t="s">
        <v>78</v>
      </c>
      <c r="C80" s="27" t="s">
        <v>93</v>
      </c>
      <c r="D80" s="27" t="s">
        <v>194</v>
      </c>
      <c r="E80" s="27" t="s">
        <v>136</v>
      </c>
      <c r="F80" s="28">
        <v>0</v>
      </c>
      <c r="G80" s="36">
        <v>2</v>
      </c>
      <c r="H80" s="31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B80" s="35">
        <v>16</v>
      </c>
      <c r="AC80" s="32">
        <v>0</v>
      </c>
      <c r="AD80" s="35">
        <v>1</v>
      </c>
      <c r="AE80" s="35">
        <v>1</v>
      </c>
      <c r="AF80" s="32">
        <v>0</v>
      </c>
      <c r="AG80" s="32">
        <v>0</v>
      </c>
    </row>
    <row r="81" spans="2:33" s="2" customFormat="1" ht="44.25" customHeight="1" x14ac:dyDescent="0.25">
      <c r="B81" s="30" t="s">
        <v>78</v>
      </c>
      <c r="C81" s="27" t="s">
        <v>93</v>
      </c>
      <c r="D81" s="27" t="s">
        <v>143</v>
      </c>
      <c r="E81" s="27" t="s">
        <v>122</v>
      </c>
      <c r="F81" s="28">
        <v>0</v>
      </c>
      <c r="G81" s="36">
        <v>3</v>
      </c>
      <c r="H81" s="31">
        <v>0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B81" s="35">
        <v>15</v>
      </c>
      <c r="AC81" s="32">
        <v>0</v>
      </c>
      <c r="AD81" s="35">
        <v>1</v>
      </c>
      <c r="AE81" s="35">
        <v>1</v>
      </c>
      <c r="AF81" s="32">
        <v>0</v>
      </c>
      <c r="AG81" s="35">
        <v>2</v>
      </c>
    </row>
    <row r="82" spans="2:33" s="2" customFormat="1" ht="44.25" customHeight="1" x14ac:dyDescent="0.25">
      <c r="B82" s="30" t="s">
        <v>78</v>
      </c>
      <c r="C82" s="27" t="s">
        <v>93</v>
      </c>
      <c r="D82" s="27" t="s">
        <v>94</v>
      </c>
      <c r="E82" s="27" t="s">
        <v>137</v>
      </c>
      <c r="F82" s="28">
        <v>0</v>
      </c>
      <c r="G82" s="36">
        <v>1</v>
      </c>
      <c r="H82" s="31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B82" s="35">
        <v>22</v>
      </c>
      <c r="AC82" s="35">
        <v>4</v>
      </c>
      <c r="AD82" s="35">
        <v>1</v>
      </c>
      <c r="AE82" s="35">
        <v>1</v>
      </c>
      <c r="AF82" s="32">
        <v>0</v>
      </c>
      <c r="AG82" s="35">
        <v>4</v>
      </c>
    </row>
    <row r="83" spans="2:33" s="2" customFormat="1" ht="49.5" customHeight="1" x14ac:dyDescent="0.25">
      <c r="B83" s="29" t="s">
        <v>78</v>
      </c>
      <c r="C83" s="27" t="s">
        <v>95</v>
      </c>
      <c r="D83" s="27" t="s">
        <v>193</v>
      </c>
      <c r="E83" s="27" t="s">
        <v>138</v>
      </c>
      <c r="F83" s="28">
        <v>0</v>
      </c>
      <c r="G83" s="31">
        <v>5</v>
      </c>
      <c r="H83" s="31">
        <v>1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B83" s="35">
        <v>8</v>
      </c>
      <c r="AC83" s="35">
        <v>2</v>
      </c>
      <c r="AD83" s="35">
        <v>1</v>
      </c>
      <c r="AE83" s="35">
        <v>1</v>
      </c>
      <c r="AF83" s="32">
        <v>0</v>
      </c>
      <c r="AG83" s="32">
        <v>0</v>
      </c>
    </row>
    <row r="84" spans="2:33" s="2" customFormat="1" ht="49.5" customHeight="1" x14ac:dyDescent="0.25">
      <c r="B84" s="29" t="s">
        <v>78</v>
      </c>
      <c r="C84" s="27" t="s">
        <v>95</v>
      </c>
      <c r="D84" s="27" t="s">
        <v>168</v>
      </c>
      <c r="E84" s="27" t="s">
        <v>138</v>
      </c>
      <c r="F84" s="28">
        <v>0</v>
      </c>
      <c r="G84" s="31">
        <v>1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58">
        <f>(AA85/30)*24</f>
        <v>823258488.77017057</v>
      </c>
      <c r="AB84" s="35">
        <v>12</v>
      </c>
      <c r="AC84" s="32">
        <v>0</v>
      </c>
      <c r="AD84" s="35">
        <v>1</v>
      </c>
      <c r="AE84" s="35">
        <v>1</v>
      </c>
      <c r="AF84" s="32">
        <v>0</v>
      </c>
      <c r="AG84" s="32">
        <v>0</v>
      </c>
    </row>
    <row r="85" spans="2:33" s="2" customFormat="1" ht="49.5" customHeight="1" x14ac:dyDescent="0.25">
      <c r="B85" s="29" t="s">
        <v>78</v>
      </c>
      <c r="C85" s="27" t="s">
        <v>95</v>
      </c>
      <c r="D85" s="27" t="s">
        <v>139</v>
      </c>
      <c r="E85" s="27" t="s">
        <v>197</v>
      </c>
      <c r="F85" s="28">
        <v>0</v>
      </c>
      <c r="G85" s="31">
        <v>2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58">
        <f>+(F86*F97)+(G86*G97)+(H86*H97)+(L86*L97)+(P86*P97)+(U86*U97)+(W86*W97)</f>
        <v>1029073110.9627131</v>
      </c>
      <c r="AB85" s="32">
        <v>0</v>
      </c>
      <c r="AC85" s="32">
        <v>0</v>
      </c>
      <c r="AD85" s="32">
        <v>0</v>
      </c>
      <c r="AE85" s="32">
        <v>0</v>
      </c>
      <c r="AF85" s="32">
        <v>0</v>
      </c>
      <c r="AG85" s="32">
        <v>0</v>
      </c>
    </row>
    <row r="86" spans="2:33" s="53" customFormat="1" ht="25.5" customHeight="1" x14ac:dyDescent="0.25">
      <c r="B86" s="165" t="s">
        <v>96</v>
      </c>
      <c r="C86" s="165"/>
      <c r="D86" s="165"/>
      <c r="E86" s="165"/>
      <c r="F86" s="85">
        <f t="shared" ref="F86:Z86" si="10">SUM(F58:F85)</f>
        <v>3</v>
      </c>
      <c r="G86" s="85">
        <f t="shared" si="10"/>
        <v>62</v>
      </c>
      <c r="H86" s="85">
        <f t="shared" si="10"/>
        <v>2</v>
      </c>
      <c r="I86" s="85">
        <f t="shared" si="10"/>
        <v>0</v>
      </c>
      <c r="J86" s="85">
        <f t="shared" si="10"/>
        <v>0</v>
      </c>
      <c r="K86" s="85">
        <f t="shared" si="10"/>
        <v>0</v>
      </c>
      <c r="L86" s="85">
        <f t="shared" si="10"/>
        <v>1</v>
      </c>
      <c r="M86" s="85">
        <f t="shared" si="10"/>
        <v>0</v>
      </c>
      <c r="N86" s="85">
        <f t="shared" si="10"/>
        <v>0</v>
      </c>
      <c r="O86" s="85">
        <f t="shared" si="10"/>
        <v>0</v>
      </c>
      <c r="P86" s="85">
        <f t="shared" si="10"/>
        <v>2</v>
      </c>
      <c r="Q86" s="85">
        <f t="shared" si="10"/>
        <v>0</v>
      </c>
      <c r="R86" s="85">
        <f t="shared" si="10"/>
        <v>0</v>
      </c>
      <c r="S86" s="85">
        <f t="shared" si="10"/>
        <v>0</v>
      </c>
      <c r="T86" s="85">
        <f t="shared" si="10"/>
        <v>0</v>
      </c>
      <c r="U86" s="85">
        <f t="shared" si="10"/>
        <v>1</v>
      </c>
      <c r="V86" s="85">
        <f t="shared" si="10"/>
        <v>0</v>
      </c>
      <c r="W86" s="85">
        <f t="shared" si="10"/>
        <v>1</v>
      </c>
      <c r="X86" s="85">
        <f t="shared" si="10"/>
        <v>0</v>
      </c>
      <c r="Y86" s="85">
        <f t="shared" si="10"/>
        <v>0</v>
      </c>
      <c r="Z86" s="85">
        <f t="shared" si="10"/>
        <v>0</v>
      </c>
      <c r="AA86" s="86">
        <f>SUM(F86:Z86)</f>
        <v>72</v>
      </c>
      <c r="AB86" s="89">
        <f t="shared" ref="AB86:AG86" si="11">SUM(AB58:AB85)</f>
        <v>377</v>
      </c>
      <c r="AC86" s="89">
        <f t="shared" si="11"/>
        <v>34</v>
      </c>
      <c r="AD86" s="89">
        <f t="shared" si="11"/>
        <v>23</v>
      </c>
      <c r="AE86" s="89">
        <f t="shared" si="11"/>
        <v>23</v>
      </c>
      <c r="AF86" s="89">
        <f t="shared" si="11"/>
        <v>10</v>
      </c>
      <c r="AG86" s="89">
        <f t="shared" si="11"/>
        <v>41</v>
      </c>
    </row>
    <row r="87" spans="2:33" s="54" customFormat="1" ht="6" customHeight="1" x14ac:dyDescent="0.25">
      <c r="B87" s="55"/>
      <c r="C87" s="55"/>
      <c r="D87" s="55"/>
      <c r="E87" s="55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7"/>
    </row>
    <row r="88" spans="2:33" s="4" customFormat="1" ht="35.25" customHeight="1" x14ac:dyDescent="0.25">
      <c r="B88" s="3"/>
      <c r="C88" s="3"/>
      <c r="D88" s="3"/>
      <c r="E88" s="90" t="s">
        <v>97</v>
      </c>
      <c r="F88" s="91">
        <f t="shared" ref="F88:Z88" si="12">+F12+F18+F33+F49+F57+F86</f>
        <v>9</v>
      </c>
      <c r="G88" s="91">
        <f t="shared" si="12"/>
        <v>174</v>
      </c>
      <c r="H88" s="91">
        <f t="shared" si="12"/>
        <v>7</v>
      </c>
      <c r="I88" s="91">
        <f t="shared" si="12"/>
        <v>0</v>
      </c>
      <c r="J88" s="91">
        <f t="shared" si="12"/>
        <v>0</v>
      </c>
      <c r="K88" s="91">
        <f t="shared" si="12"/>
        <v>0</v>
      </c>
      <c r="L88" s="91">
        <f t="shared" si="12"/>
        <v>2</v>
      </c>
      <c r="M88" s="91">
        <f t="shared" si="12"/>
        <v>1</v>
      </c>
      <c r="N88" s="91">
        <f t="shared" si="12"/>
        <v>0</v>
      </c>
      <c r="O88" s="91">
        <f t="shared" si="12"/>
        <v>0</v>
      </c>
      <c r="P88" s="91">
        <f t="shared" si="12"/>
        <v>7</v>
      </c>
      <c r="Q88" s="91">
        <f t="shared" si="12"/>
        <v>4</v>
      </c>
      <c r="R88" s="91">
        <f t="shared" si="12"/>
        <v>0</v>
      </c>
      <c r="S88" s="91">
        <f t="shared" si="12"/>
        <v>0</v>
      </c>
      <c r="T88" s="91">
        <f t="shared" si="12"/>
        <v>0</v>
      </c>
      <c r="U88" s="91">
        <f t="shared" si="12"/>
        <v>1</v>
      </c>
      <c r="V88" s="91">
        <f t="shared" si="12"/>
        <v>2</v>
      </c>
      <c r="W88" s="91">
        <f t="shared" si="12"/>
        <v>1</v>
      </c>
      <c r="X88" s="91">
        <f t="shared" si="12"/>
        <v>1</v>
      </c>
      <c r="Y88" s="91">
        <f t="shared" si="12"/>
        <v>2</v>
      </c>
      <c r="Z88" s="91">
        <f t="shared" si="12"/>
        <v>0</v>
      </c>
      <c r="AA88" s="51">
        <f>+AA12+AA18+AA33+AA49+AA57+AA86</f>
        <v>211</v>
      </c>
      <c r="AB88" s="92">
        <f t="shared" ref="AB88:AG88" si="13">+AB12+AB18+AB33+AB49+AB57+AB86</f>
        <v>888</v>
      </c>
      <c r="AC88" s="92">
        <f t="shared" si="13"/>
        <v>99</v>
      </c>
      <c r="AD88" s="92">
        <f t="shared" si="13"/>
        <v>63</v>
      </c>
      <c r="AE88" s="92">
        <f t="shared" si="13"/>
        <v>61</v>
      </c>
      <c r="AF88" s="92">
        <f t="shared" si="13"/>
        <v>17</v>
      </c>
      <c r="AG88" s="92">
        <f t="shared" si="13"/>
        <v>94</v>
      </c>
    </row>
    <row r="89" spans="2:33" s="4" customFormat="1" ht="20.25" customHeight="1" x14ac:dyDescent="0.25">
      <c r="B89" s="3"/>
      <c r="C89" s="5"/>
      <c r="D89" s="5"/>
      <c r="E89" s="65" t="s">
        <v>98</v>
      </c>
      <c r="F89" s="66">
        <v>3</v>
      </c>
      <c r="G89" s="66">
        <v>3</v>
      </c>
      <c r="H89" s="66">
        <v>3</v>
      </c>
      <c r="I89" s="66">
        <v>3</v>
      </c>
      <c r="J89" s="66">
        <v>3</v>
      </c>
      <c r="K89" s="66">
        <v>3</v>
      </c>
      <c r="L89" s="66">
        <v>2</v>
      </c>
      <c r="M89" s="66">
        <v>2</v>
      </c>
      <c r="N89" s="66">
        <v>2</v>
      </c>
      <c r="O89" s="66">
        <v>1.5</v>
      </c>
      <c r="P89" s="67">
        <v>1.5</v>
      </c>
      <c r="Q89" s="67">
        <v>1.5</v>
      </c>
      <c r="R89" s="66">
        <v>1.5</v>
      </c>
      <c r="S89" s="66">
        <v>1.5</v>
      </c>
      <c r="T89" s="66">
        <v>1.5</v>
      </c>
      <c r="U89" s="66">
        <v>1</v>
      </c>
      <c r="V89" s="66">
        <v>1</v>
      </c>
      <c r="W89" s="66">
        <v>1</v>
      </c>
      <c r="X89" s="66">
        <v>1</v>
      </c>
      <c r="Y89" s="66">
        <v>1</v>
      </c>
      <c r="Z89" s="66">
        <v>1</v>
      </c>
      <c r="AA89" s="52"/>
    </row>
    <row r="90" spans="2:33" s="4" customFormat="1" ht="20.25" customHeight="1" x14ac:dyDescent="0.25">
      <c r="B90" s="3"/>
      <c r="C90" s="5"/>
      <c r="D90" s="5"/>
      <c r="E90" s="65" t="s">
        <v>99</v>
      </c>
      <c r="F90" s="66">
        <f>F89*F88</f>
        <v>27</v>
      </c>
      <c r="G90" s="66">
        <f t="shared" ref="G90:Z90" si="14">G89*G88</f>
        <v>522</v>
      </c>
      <c r="H90" s="66">
        <f t="shared" si="14"/>
        <v>21</v>
      </c>
      <c r="I90" s="66">
        <f t="shared" si="14"/>
        <v>0</v>
      </c>
      <c r="J90" s="66">
        <f t="shared" si="14"/>
        <v>0</v>
      </c>
      <c r="K90" s="66">
        <f t="shared" si="14"/>
        <v>0</v>
      </c>
      <c r="L90" s="66">
        <f t="shared" si="14"/>
        <v>4</v>
      </c>
      <c r="M90" s="66">
        <f t="shared" si="14"/>
        <v>2</v>
      </c>
      <c r="N90" s="66">
        <f t="shared" si="14"/>
        <v>0</v>
      </c>
      <c r="O90" s="66">
        <f t="shared" si="14"/>
        <v>0</v>
      </c>
      <c r="P90" s="67">
        <f t="shared" si="14"/>
        <v>10.5</v>
      </c>
      <c r="Q90" s="67">
        <f t="shared" si="14"/>
        <v>6</v>
      </c>
      <c r="R90" s="67">
        <f t="shared" si="14"/>
        <v>0</v>
      </c>
      <c r="S90" s="67">
        <f t="shared" si="14"/>
        <v>0</v>
      </c>
      <c r="T90" s="67">
        <f t="shared" si="14"/>
        <v>0</v>
      </c>
      <c r="U90" s="66">
        <f t="shared" si="14"/>
        <v>1</v>
      </c>
      <c r="V90" s="66">
        <f t="shared" si="14"/>
        <v>2</v>
      </c>
      <c r="W90" s="66">
        <f t="shared" si="14"/>
        <v>1</v>
      </c>
      <c r="X90" s="66">
        <f t="shared" si="14"/>
        <v>1</v>
      </c>
      <c r="Y90" s="66">
        <f t="shared" si="14"/>
        <v>2</v>
      </c>
      <c r="Z90" s="66">
        <f t="shared" si="14"/>
        <v>0</v>
      </c>
      <c r="AA90" s="51"/>
    </row>
    <row r="91" spans="2:33" s="4" customFormat="1" ht="35.25" customHeight="1" x14ac:dyDescent="0.25">
      <c r="B91" s="3"/>
      <c r="C91" s="5"/>
      <c r="D91" s="5"/>
      <c r="E91" s="65" t="s">
        <v>100</v>
      </c>
      <c r="F91" s="68">
        <v>3000</v>
      </c>
      <c r="G91" s="68">
        <f>$F$91</f>
        <v>3000</v>
      </c>
      <c r="H91" s="68">
        <f t="shared" ref="H91:Z91" si="15">$F$91</f>
        <v>3000</v>
      </c>
      <c r="I91" s="68">
        <f t="shared" si="15"/>
        <v>3000</v>
      </c>
      <c r="J91" s="68">
        <f t="shared" si="15"/>
        <v>3000</v>
      </c>
      <c r="K91" s="68">
        <f t="shared" si="15"/>
        <v>3000</v>
      </c>
      <c r="L91" s="68">
        <f t="shared" si="15"/>
        <v>3000</v>
      </c>
      <c r="M91" s="68">
        <f t="shared" si="15"/>
        <v>3000</v>
      </c>
      <c r="N91" s="68">
        <f t="shared" si="15"/>
        <v>3000</v>
      </c>
      <c r="O91" s="68">
        <f t="shared" si="15"/>
        <v>3000</v>
      </c>
      <c r="P91" s="68">
        <f t="shared" si="15"/>
        <v>3000</v>
      </c>
      <c r="Q91" s="68">
        <f t="shared" si="15"/>
        <v>3000</v>
      </c>
      <c r="R91" s="68">
        <f t="shared" si="15"/>
        <v>3000</v>
      </c>
      <c r="S91" s="68">
        <f t="shared" si="15"/>
        <v>3000</v>
      </c>
      <c r="T91" s="68">
        <f t="shared" si="15"/>
        <v>3000</v>
      </c>
      <c r="U91" s="68">
        <f t="shared" si="15"/>
        <v>3000</v>
      </c>
      <c r="V91" s="68">
        <f t="shared" si="15"/>
        <v>3000</v>
      </c>
      <c r="W91" s="68">
        <f t="shared" si="15"/>
        <v>3000</v>
      </c>
      <c r="X91" s="68">
        <f t="shared" si="15"/>
        <v>3000</v>
      </c>
      <c r="Y91" s="68">
        <f>$F$91</f>
        <v>3000</v>
      </c>
      <c r="Z91" s="68">
        <f t="shared" si="15"/>
        <v>3000</v>
      </c>
      <c r="AA91" s="6"/>
    </row>
    <row r="92" spans="2:33" s="4" customFormat="1" ht="37.5" customHeight="1" x14ac:dyDescent="0.25">
      <c r="B92" s="3"/>
      <c r="C92" s="5"/>
      <c r="D92" s="5"/>
      <c r="E92" s="65" t="s">
        <v>101</v>
      </c>
      <c r="F92" s="68">
        <f>F91*F90</f>
        <v>81000</v>
      </c>
      <c r="G92" s="68">
        <f t="shared" ref="G92:Z92" si="16">G91*G90</f>
        <v>1566000</v>
      </c>
      <c r="H92" s="68">
        <f t="shared" si="16"/>
        <v>63000</v>
      </c>
      <c r="I92" s="68">
        <f t="shared" si="16"/>
        <v>0</v>
      </c>
      <c r="J92" s="68">
        <f t="shared" si="16"/>
        <v>0</v>
      </c>
      <c r="K92" s="68">
        <f t="shared" si="16"/>
        <v>0</v>
      </c>
      <c r="L92" s="68">
        <f t="shared" si="16"/>
        <v>12000</v>
      </c>
      <c r="M92" s="68">
        <f t="shared" si="16"/>
        <v>6000</v>
      </c>
      <c r="N92" s="68">
        <f t="shared" si="16"/>
        <v>0</v>
      </c>
      <c r="O92" s="68">
        <f t="shared" si="16"/>
        <v>0</v>
      </c>
      <c r="P92" s="68">
        <f t="shared" si="16"/>
        <v>31500</v>
      </c>
      <c r="Q92" s="68">
        <f t="shared" si="16"/>
        <v>18000</v>
      </c>
      <c r="R92" s="68">
        <f t="shared" si="16"/>
        <v>0</v>
      </c>
      <c r="S92" s="68">
        <f t="shared" si="16"/>
        <v>0</v>
      </c>
      <c r="T92" s="68">
        <f t="shared" si="16"/>
        <v>0</v>
      </c>
      <c r="U92" s="68">
        <f t="shared" si="16"/>
        <v>3000</v>
      </c>
      <c r="V92" s="68">
        <f t="shared" si="16"/>
        <v>6000</v>
      </c>
      <c r="W92" s="68">
        <f t="shared" si="16"/>
        <v>3000</v>
      </c>
      <c r="X92" s="68">
        <f t="shared" si="16"/>
        <v>3000</v>
      </c>
      <c r="Y92" s="68">
        <f t="shared" si="16"/>
        <v>6000</v>
      </c>
      <c r="Z92" s="68">
        <f t="shared" si="16"/>
        <v>0</v>
      </c>
      <c r="AA92" s="50"/>
    </row>
    <row r="94" spans="2:33" ht="20.25" customHeight="1" x14ac:dyDescent="0.25">
      <c r="C94" s="12"/>
      <c r="D94" s="12"/>
      <c r="E94" s="47" t="s">
        <v>102</v>
      </c>
      <c r="F94" s="45">
        <f>((9.53*1423500)+(500*3))</f>
        <v>13567455</v>
      </c>
      <c r="G94" s="45">
        <f>(9.53*1423500+(500*3))</f>
        <v>13567455</v>
      </c>
      <c r="H94" s="45">
        <f>(9.53*1423500+(500*3))</f>
        <v>13567455</v>
      </c>
      <c r="I94" s="45">
        <f>(9.29*1423500+(500*3))</f>
        <v>13225814.999999998</v>
      </c>
      <c r="J94" s="45">
        <f>(9.29*1423500+(500*3))/30*20</f>
        <v>8817209.9999999981</v>
      </c>
      <c r="K94" s="45">
        <f>(9.29*1423500+(500*3))/30*24</f>
        <v>10580651.999999998</v>
      </c>
      <c r="L94" s="45">
        <f>(((9.53*1423500+(500*3))*55.97%)+((9.53*1423500+(500*3))*44.03%/9*1))</f>
        <v>8257454.6119999997</v>
      </c>
      <c r="M94" s="45">
        <f>(((9.53*1423500+(500*3))*55.97%)+((9.53*1423500+(500*3))*44.03%/9*1))/30*20</f>
        <v>5504969.7413333328</v>
      </c>
      <c r="N94" s="45">
        <f>(((9.29*1423500+(500*3))*55.97%)+((9.29*1423500+(500*3))*44.03%/9*1))/30*24</f>
        <v>6439619.9327999987</v>
      </c>
      <c r="O94" s="45">
        <f>((9.53*1423500+(500*3))*55.97%/15*12)</f>
        <v>6074963.650799999</v>
      </c>
      <c r="P94" s="45">
        <f>((9.53*1423500+(500*3))*55.97%/15*12)/30*20</f>
        <v>4049975.7671999997</v>
      </c>
      <c r="Q94" s="45">
        <f>((9.53*1423500+(500*3))*55.97%/15*12)/30*24</f>
        <v>4859970.9206399992</v>
      </c>
      <c r="R94" s="45">
        <f>(((9.29*1423500+(500*3))*55.97%/15*3)+((9.29*1423500+(500*3))*44.03%/9*9))</f>
        <v>7303824.0755999992</v>
      </c>
      <c r="S94" s="45">
        <f>((((9.29*1423500+(500*3))*55.97%/15*3)+((9.29*1423500+(500*3))*44.03%/9*9))/30)*24</f>
        <v>5843059.2604799997</v>
      </c>
      <c r="T94" s="45">
        <f>(((9.29*1423500+(500*3))*55.97%/15*3)+((9.29*1423500+(500*3))*44.03%/9*9))</f>
        <v>7303824.0755999992</v>
      </c>
      <c r="U94" s="45">
        <f>((9.53*1423500+(500*3))*44.03%/9*8)</f>
        <v>5310000.3880000003</v>
      </c>
      <c r="V94" s="45">
        <f>((9.53*1423500+(500*3))*44.03%/9*8)</f>
        <v>5310000.3880000003</v>
      </c>
      <c r="W94" s="45">
        <f>(9.53*1423500+(500*3))*44.03%/9*8/30*20</f>
        <v>3540000.2586666672</v>
      </c>
      <c r="X94" s="45">
        <f>(9.53*1423500+(500*3))*55.97%/15*8/30*24</f>
        <v>3239980.6137599992</v>
      </c>
      <c r="Y94" s="45">
        <f>(9.53*1423500+(500*3))*55.97%/15*8/30*20</f>
        <v>2699983.8447999996</v>
      </c>
      <c r="Z94" s="45">
        <f>((9.53*1423500+(500*3))*55.97%/15*8)</f>
        <v>4049975.7671999997</v>
      </c>
      <c r="AB94" s="45">
        <v>11227</v>
      </c>
      <c r="AC94" s="45">
        <v>43635</v>
      </c>
      <c r="AD94" s="45">
        <v>55898</v>
      </c>
      <c r="AE94" s="45">
        <v>40588</v>
      </c>
      <c r="AF94" s="45">
        <v>127990</v>
      </c>
      <c r="AG94" s="45">
        <v>43069</v>
      </c>
    </row>
    <row r="95" spans="2:33" ht="20.25" customHeight="1" x14ac:dyDescent="0.25">
      <c r="C95" s="12"/>
      <c r="D95" s="12"/>
      <c r="E95" s="47" t="s">
        <v>103</v>
      </c>
      <c r="F95" s="45">
        <f>+F94*0.1</f>
        <v>1356745.5</v>
      </c>
      <c r="G95" s="45">
        <f>+G94*0.08</f>
        <v>1085396.3999999999</v>
      </c>
      <c r="H95" s="45">
        <f t="shared" ref="H95:Z95" si="17">+H94*0.08</f>
        <v>1085396.3999999999</v>
      </c>
      <c r="I95" s="45">
        <f>+I94*0.11</f>
        <v>1454839.65</v>
      </c>
      <c r="J95" s="45">
        <f t="shared" si="17"/>
        <v>705376.79999999981</v>
      </c>
      <c r="K95" s="45">
        <f t="shared" si="17"/>
        <v>846452.15999999992</v>
      </c>
      <c r="L95" s="45">
        <f t="shared" si="17"/>
        <v>660596.36895999999</v>
      </c>
      <c r="M95" s="45">
        <f t="shared" si="17"/>
        <v>440397.57930666662</v>
      </c>
      <c r="N95" s="45">
        <f t="shared" si="17"/>
        <v>515169.5946239999</v>
      </c>
      <c r="O95" s="45">
        <f t="shared" si="17"/>
        <v>485997.09206399991</v>
      </c>
      <c r="P95" s="45">
        <f t="shared" si="17"/>
        <v>323998.061376</v>
      </c>
      <c r="Q95" s="45">
        <f t="shared" si="17"/>
        <v>388797.67365119996</v>
      </c>
      <c r="R95" s="45">
        <f t="shared" si="17"/>
        <v>584305.92604799999</v>
      </c>
      <c r="S95" s="45">
        <f t="shared" si="17"/>
        <v>467444.74083839997</v>
      </c>
      <c r="T95" s="45">
        <f>+T94*0.1</f>
        <v>730382.40755999996</v>
      </c>
      <c r="U95" s="45">
        <f>+U94*0.1</f>
        <v>531000.0388000001</v>
      </c>
      <c r="V95" s="45">
        <f t="shared" si="17"/>
        <v>424800.03104000003</v>
      </c>
      <c r="W95" s="45">
        <f t="shared" si="17"/>
        <v>283200.02069333335</v>
      </c>
      <c r="X95" s="45">
        <f t="shared" si="17"/>
        <v>259198.44910079995</v>
      </c>
      <c r="Y95" s="45">
        <f t="shared" si="17"/>
        <v>215998.70758399996</v>
      </c>
      <c r="Z95" s="45">
        <f t="shared" si="17"/>
        <v>323998.061376</v>
      </c>
      <c r="AB95" s="45">
        <v>0</v>
      </c>
      <c r="AC95" s="45">
        <v>0</v>
      </c>
      <c r="AD95" s="45">
        <v>0</v>
      </c>
      <c r="AE95" s="45">
        <v>0</v>
      </c>
      <c r="AF95" s="45">
        <v>0</v>
      </c>
      <c r="AG95" s="45">
        <v>0</v>
      </c>
    </row>
    <row r="96" spans="2:33" ht="20.25" customHeight="1" x14ac:dyDescent="0.25">
      <c r="C96" s="12"/>
      <c r="D96" s="12"/>
      <c r="E96" s="47" t="s">
        <v>104</v>
      </c>
      <c r="F96" s="45">
        <f>+(F94+F95)*0.019</f>
        <v>283559.80949999997</v>
      </c>
      <c r="G96" s="45">
        <f t="shared" ref="G96:Z96" si="18">+(G94+G95)*0.019</f>
        <v>278404.17660000001</v>
      </c>
      <c r="H96" s="45">
        <f t="shared" si="18"/>
        <v>278404.17660000001</v>
      </c>
      <c r="I96" s="45">
        <f t="shared" si="18"/>
        <v>278932.43834999995</v>
      </c>
      <c r="J96" s="45">
        <f t="shared" si="18"/>
        <v>180929.14919999993</v>
      </c>
      <c r="K96" s="45">
        <f t="shared" si="18"/>
        <v>217114.97903999998</v>
      </c>
      <c r="L96" s="45">
        <f t="shared" si="18"/>
        <v>169442.96863824001</v>
      </c>
      <c r="M96" s="45">
        <f t="shared" si="18"/>
        <v>112961.97909215999</v>
      </c>
      <c r="N96" s="45">
        <f t="shared" si="18"/>
        <v>132141.00102105597</v>
      </c>
      <c r="O96" s="45">
        <f t="shared" si="18"/>
        <v>124658.25411441598</v>
      </c>
      <c r="P96" s="45">
        <f t="shared" si="18"/>
        <v>83105.502742943994</v>
      </c>
      <c r="Q96" s="45">
        <f t="shared" si="18"/>
        <v>99726.603291532781</v>
      </c>
      <c r="R96" s="45">
        <f t="shared" si="18"/>
        <v>149874.470031312</v>
      </c>
      <c r="S96" s="45">
        <f t="shared" si="18"/>
        <v>119899.5760250496</v>
      </c>
      <c r="T96" s="45">
        <f t="shared" si="18"/>
        <v>152649.92318003997</v>
      </c>
      <c r="U96" s="45">
        <f t="shared" si="18"/>
        <v>110979.0081092</v>
      </c>
      <c r="V96" s="45">
        <f t="shared" si="18"/>
        <v>108961.20796176</v>
      </c>
      <c r="W96" s="45">
        <f t="shared" si="18"/>
        <v>72640.805307840012</v>
      </c>
      <c r="X96" s="45">
        <f t="shared" si="18"/>
        <v>66484.402194355178</v>
      </c>
      <c r="Y96" s="45">
        <f t="shared" si="18"/>
        <v>55403.668495295984</v>
      </c>
      <c r="Z96" s="45">
        <f t="shared" si="18"/>
        <v>83105.502742943994</v>
      </c>
      <c r="AB96" s="45">
        <f>+AB94*0.19</f>
        <v>2133.13</v>
      </c>
      <c r="AC96" s="45">
        <f t="shared" ref="AC96:AG96" si="19">+AC94*0.19</f>
        <v>8290.65</v>
      </c>
      <c r="AD96" s="45">
        <f t="shared" si="19"/>
        <v>10620.62</v>
      </c>
      <c r="AE96" s="45">
        <f t="shared" si="19"/>
        <v>7711.72</v>
      </c>
      <c r="AF96" s="45">
        <f t="shared" si="19"/>
        <v>24318.1</v>
      </c>
      <c r="AG96" s="45">
        <f t="shared" si="19"/>
        <v>8183.11</v>
      </c>
    </row>
    <row r="97" spans="2:33" ht="20.25" customHeight="1" x14ac:dyDescent="0.25">
      <c r="C97" s="12"/>
      <c r="D97" s="12"/>
      <c r="E97" s="48" t="s">
        <v>105</v>
      </c>
      <c r="F97" s="49">
        <f>+F94+F95+F96</f>
        <v>15207760.3095</v>
      </c>
      <c r="G97" s="49">
        <f>+G94+G95+G96</f>
        <v>14931255.5766</v>
      </c>
      <c r="H97" s="49">
        <f t="shared" ref="H97:Z97" si="20">+H94+H95+H96</f>
        <v>14931255.5766</v>
      </c>
      <c r="I97" s="49">
        <f t="shared" si="20"/>
        <v>14959587.088349998</v>
      </c>
      <c r="J97" s="49">
        <f t="shared" si="20"/>
        <v>9703515.9491999969</v>
      </c>
      <c r="K97" s="49">
        <f t="shared" si="20"/>
        <v>11644219.139039999</v>
      </c>
      <c r="L97" s="49">
        <f>+L94+L95+L96</f>
        <v>9087493.9495982397</v>
      </c>
      <c r="M97" s="49">
        <f t="shared" si="20"/>
        <v>6058329.2997321598</v>
      </c>
      <c r="N97" s="49">
        <f t="shared" si="20"/>
        <v>7086930.5284450538</v>
      </c>
      <c r="O97" s="49">
        <f t="shared" si="20"/>
        <v>6685618.9969784152</v>
      </c>
      <c r="P97" s="49">
        <f t="shared" si="20"/>
        <v>4457079.3313189438</v>
      </c>
      <c r="Q97" s="49">
        <f t="shared" si="20"/>
        <v>5348495.197582732</v>
      </c>
      <c r="R97" s="49">
        <f t="shared" si="20"/>
        <v>8038004.4716793112</v>
      </c>
      <c r="S97" s="49">
        <f t="shared" si="20"/>
        <v>6430403.577343449</v>
      </c>
      <c r="T97" s="49">
        <f t="shared" si="20"/>
        <v>8186856.4063400393</v>
      </c>
      <c r="U97" s="49">
        <f t="shared" si="20"/>
        <v>5951979.4349092003</v>
      </c>
      <c r="V97" s="49">
        <f t="shared" si="20"/>
        <v>5843761.6270017605</v>
      </c>
      <c r="W97" s="49">
        <f t="shared" si="20"/>
        <v>3895841.0846678405</v>
      </c>
      <c r="X97" s="49">
        <f t="shared" si="20"/>
        <v>3565663.4650551542</v>
      </c>
      <c r="Y97" s="49">
        <f t="shared" si="20"/>
        <v>2971386.2208792954</v>
      </c>
      <c r="Z97" s="49">
        <f t="shared" si="20"/>
        <v>4457079.3313189438</v>
      </c>
      <c r="AB97" s="44">
        <f>+AB94+AB96</f>
        <v>13360.130000000001</v>
      </c>
      <c r="AC97" s="44">
        <f t="shared" ref="AC97:AG97" si="21">+AC94+AC96</f>
        <v>51925.65</v>
      </c>
      <c r="AD97" s="44">
        <f t="shared" si="21"/>
        <v>66518.62</v>
      </c>
      <c r="AE97" s="44">
        <f t="shared" si="21"/>
        <v>48299.72</v>
      </c>
      <c r="AF97" s="44">
        <f t="shared" si="21"/>
        <v>152308.1</v>
      </c>
      <c r="AG97" s="44">
        <f t="shared" si="21"/>
        <v>51252.11</v>
      </c>
    </row>
    <row r="99" spans="2:33" ht="18" customHeight="1" x14ac:dyDescent="0.25">
      <c r="C99" s="12"/>
      <c r="D99" s="12"/>
      <c r="E99" s="74" t="s">
        <v>106</v>
      </c>
      <c r="F99" s="75">
        <f>(F88)*(F$94+F$95)</f>
        <v>134317804.5</v>
      </c>
      <c r="G99" s="75">
        <f>+(G88)*(G$94+G$95)</f>
        <v>2549596143.5999999</v>
      </c>
      <c r="H99" s="75">
        <f>+H88*(H$94+H$95)</f>
        <v>102569959.8</v>
      </c>
      <c r="I99" s="75">
        <f t="shared" ref="I99:Z99" si="22">+I88*(I$94+I$95)</f>
        <v>0</v>
      </c>
      <c r="J99" s="75">
        <f t="shared" si="22"/>
        <v>0</v>
      </c>
      <c r="K99" s="75">
        <f t="shared" si="22"/>
        <v>0</v>
      </c>
      <c r="L99" s="75">
        <f t="shared" si="22"/>
        <v>17836101.961920001</v>
      </c>
      <c r="M99" s="75">
        <f>+M88*(M$94+M$95)</f>
        <v>5945367.3206399996</v>
      </c>
      <c r="N99" s="75">
        <f t="shared" si="22"/>
        <v>0</v>
      </c>
      <c r="O99" s="75">
        <f t="shared" si="22"/>
        <v>0</v>
      </c>
      <c r="P99" s="75">
        <f t="shared" si="22"/>
        <v>30617816.800031997</v>
      </c>
      <c r="Q99" s="75">
        <f t="shared" si="22"/>
        <v>20995074.377164796</v>
      </c>
      <c r="R99" s="75">
        <f t="shared" si="22"/>
        <v>0</v>
      </c>
      <c r="S99" s="75">
        <f t="shared" si="22"/>
        <v>0</v>
      </c>
      <c r="T99" s="75">
        <f t="shared" si="22"/>
        <v>0</v>
      </c>
      <c r="U99" s="75">
        <f t="shared" si="22"/>
        <v>5841000.4268000005</v>
      </c>
      <c r="V99" s="75">
        <f t="shared" si="22"/>
        <v>11469600.83808</v>
      </c>
      <c r="W99" s="75">
        <f t="shared" si="22"/>
        <v>3823200.2793600005</v>
      </c>
      <c r="X99" s="75">
        <f t="shared" si="22"/>
        <v>3499179.062860799</v>
      </c>
      <c r="Y99" s="75">
        <f t="shared" si="22"/>
        <v>5831965.1047679987</v>
      </c>
      <c r="Z99" s="75">
        <f t="shared" si="22"/>
        <v>0</v>
      </c>
      <c r="AA99" s="10"/>
      <c r="AB99" s="76">
        <f>+AB88*(AB94+AB95)</f>
        <v>9969576</v>
      </c>
      <c r="AC99" s="76">
        <f t="shared" ref="AC99:AG99" si="23">+AC88*(AC94+AC95)</f>
        <v>4319865</v>
      </c>
      <c r="AD99" s="76">
        <f t="shared" si="23"/>
        <v>3521574</v>
      </c>
      <c r="AE99" s="76">
        <f t="shared" si="23"/>
        <v>2475868</v>
      </c>
      <c r="AF99" s="76">
        <f t="shared" si="23"/>
        <v>2175830</v>
      </c>
      <c r="AG99" s="76">
        <f t="shared" si="23"/>
        <v>4048486</v>
      </c>
    </row>
    <row r="100" spans="2:33" s="12" customFormat="1" ht="18" customHeight="1" x14ac:dyDescent="0.25">
      <c r="E100" s="74" t="s">
        <v>107</v>
      </c>
      <c r="F100" s="75">
        <f>(F$96*F88)</f>
        <v>2552038.2854999998</v>
      </c>
      <c r="G100" s="75">
        <f>(G$96)*(G88)</f>
        <v>48442326.728399999</v>
      </c>
      <c r="H100" s="75">
        <f t="shared" ref="H100:Z100" si="24">(H$96*H88)</f>
        <v>1948829.2362000002</v>
      </c>
      <c r="I100" s="75">
        <f t="shared" si="24"/>
        <v>0</v>
      </c>
      <c r="J100" s="75">
        <f t="shared" si="24"/>
        <v>0</v>
      </c>
      <c r="K100" s="75">
        <f t="shared" si="24"/>
        <v>0</v>
      </c>
      <c r="L100" s="75">
        <f t="shared" si="24"/>
        <v>338885.93727648002</v>
      </c>
      <c r="M100" s="75">
        <f t="shared" si="24"/>
        <v>112961.97909215999</v>
      </c>
      <c r="N100" s="75">
        <f t="shared" si="24"/>
        <v>0</v>
      </c>
      <c r="O100" s="75">
        <f t="shared" si="24"/>
        <v>0</v>
      </c>
      <c r="P100" s="75">
        <f t="shared" si="24"/>
        <v>581738.5192006079</v>
      </c>
      <c r="Q100" s="75">
        <f t="shared" si="24"/>
        <v>398906.41316613113</v>
      </c>
      <c r="R100" s="75">
        <f t="shared" si="24"/>
        <v>0</v>
      </c>
      <c r="S100" s="75">
        <f t="shared" si="24"/>
        <v>0</v>
      </c>
      <c r="T100" s="75">
        <f t="shared" si="24"/>
        <v>0</v>
      </c>
      <c r="U100" s="75">
        <f t="shared" si="24"/>
        <v>110979.0081092</v>
      </c>
      <c r="V100" s="75">
        <f t="shared" si="24"/>
        <v>217922.41592351999</v>
      </c>
      <c r="W100" s="75">
        <f t="shared" si="24"/>
        <v>72640.805307840012</v>
      </c>
      <c r="X100" s="75">
        <f t="shared" si="24"/>
        <v>66484.402194355178</v>
      </c>
      <c r="Y100" s="75">
        <f t="shared" si="24"/>
        <v>110807.33699059197</v>
      </c>
      <c r="Z100" s="75">
        <f t="shared" si="24"/>
        <v>0</v>
      </c>
      <c r="AA100" s="11"/>
      <c r="AB100" s="76">
        <f t="shared" ref="AB100:AG100" si="25">+ROUND(((AB12+AB18+AB33+AB49+AB57+AB86)*AB96),0)</f>
        <v>1894219</v>
      </c>
      <c r="AC100" s="76">
        <f t="shared" si="25"/>
        <v>820774</v>
      </c>
      <c r="AD100" s="76">
        <f t="shared" si="25"/>
        <v>669099</v>
      </c>
      <c r="AE100" s="76">
        <f t="shared" si="25"/>
        <v>470415</v>
      </c>
      <c r="AF100" s="76">
        <f t="shared" si="25"/>
        <v>413408</v>
      </c>
      <c r="AG100" s="76">
        <f t="shared" si="25"/>
        <v>769212</v>
      </c>
    </row>
    <row r="101" spans="2:33" s="12" customFormat="1" ht="18" customHeight="1" x14ac:dyDescent="0.25">
      <c r="B101" s="46"/>
      <c r="C101" s="46"/>
      <c r="D101" s="46"/>
      <c r="E101" s="73" t="s">
        <v>200</v>
      </c>
      <c r="F101" s="78">
        <f>+F99+F100</f>
        <v>136869842.78549999</v>
      </c>
      <c r="G101" s="78">
        <f>+G99+G100</f>
        <v>2598038470.3284001</v>
      </c>
      <c r="H101" s="78">
        <f t="shared" ref="H101:Y101" si="26">+H99+H100</f>
        <v>104518789.0362</v>
      </c>
      <c r="I101" s="78">
        <f t="shared" si="26"/>
        <v>0</v>
      </c>
      <c r="J101" s="78">
        <f t="shared" si="26"/>
        <v>0</v>
      </c>
      <c r="K101" s="78">
        <f t="shared" si="26"/>
        <v>0</v>
      </c>
      <c r="L101" s="78">
        <f t="shared" si="26"/>
        <v>18174987.899196479</v>
      </c>
      <c r="M101" s="78">
        <f>+M99+M100</f>
        <v>6058329.2997321598</v>
      </c>
      <c r="N101" s="78">
        <f t="shared" si="26"/>
        <v>0</v>
      </c>
      <c r="O101" s="78">
        <f t="shared" si="26"/>
        <v>0</v>
      </c>
      <c r="P101" s="78">
        <f t="shared" si="26"/>
        <v>31199555.319232605</v>
      </c>
      <c r="Q101" s="78">
        <f t="shared" si="26"/>
        <v>21393980.790330928</v>
      </c>
      <c r="R101" s="78">
        <f t="shared" si="26"/>
        <v>0</v>
      </c>
      <c r="S101" s="78">
        <f t="shared" si="26"/>
        <v>0</v>
      </c>
      <c r="T101" s="78">
        <f t="shared" si="26"/>
        <v>0</v>
      </c>
      <c r="U101" s="78">
        <f t="shared" si="26"/>
        <v>5951979.4349092003</v>
      </c>
      <c r="V101" s="78">
        <f t="shared" si="26"/>
        <v>11687523.254003521</v>
      </c>
      <c r="W101" s="78">
        <f t="shared" si="26"/>
        <v>3895841.0846678405</v>
      </c>
      <c r="X101" s="78">
        <f t="shared" si="26"/>
        <v>3565663.4650551542</v>
      </c>
      <c r="Y101" s="78">
        <f t="shared" si="26"/>
        <v>5942772.4417585908</v>
      </c>
      <c r="Z101" s="78">
        <f>+Z99+Z100</f>
        <v>0</v>
      </c>
      <c r="AA101" s="11"/>
      <c r="AB101" s="77">
        <f>+AB99+AB100</f>
        <v>11863795</v>
      </c>
      <c r="AC101" s="77">
        <f t="shared" ref="AC101:AG101" si="27">+AC99+AC100</f>
        <v>5140639</v>
      </c>
      <c r="AD101" s="77">
        <f t="shared" si="27"/>
        <v>4190673</v>
      </c>
      <c r="AE101" s="77">
        <f t="shared" si="27"/>
        <v>2946283</v>
      </c>
      <c r="AF101" s="77">
        <f t="shared" si="27"/>
        <v>2589238</v>
      </c>
      <c r="AG101" s="77">
        <f t="shared" si="27"/>
        <v>4817698</v>
      </c>
    </row>
    <row r="102" spans="2:33" ht="17.25" customHeight="1" x14ac:dyDescent="0.25">
      <c r="D102" s="13"/>
      <c r="E102" s="14"/>
      <c r="F102" s="15"/>
      <c r="G102" s="16"/>
      <c r="H102" s="16"/>
      <c r="I102" s="16"/>
      <c r="J102" s="16"/>
      <c r="K102" s="16"/>
      <c r="L102" s="16"/>
      <c r="M102" s="16"/>
      <c r="O102" s="17"/>
      <c r="W102" s="18"/>
      <c r="Y102" s="71"/>
      <c r="Z102" s="72"/>
      <c r="AA102" s="19"/>
      <c r="AB102" s="71"/>
      <c r="AC102" s="72"/>
    </row>
    <row r="103" spans="2:33" ht="31.5" x14ac:dyDescent="0.25">
      <c r="C103" s="79" t="s">
        <v>108</v>
      </c>
      <c r="D103" s="79" t="s">
        <v>109</v>
      </c>
    </row>
    <row r="104" spans="2:33" ht="22.5" customHeight="1" x14ac:dyDescent="0.25">
      <c r="C104" s="63">
        <f>+AA11+AA17+AA32+AA48+AA56+AA85</f>
        <v>2947297735.1389866</v>
      </c>
      <c r="D104" s="63">
        <f>SUM(AB101:AG101)</f>
        <v>31548326</v>
      </c>
    </row>
    <row r="105" spans="2:33" ht="27" customHeight="1" x14ac:dyDescent="0.25"/>
    <row r="106" spans="2:33" ht="30" customHeight="1" x14ac:dyDescent="0.25">
      <c r="C106" s="80" t="s">
        <v>0</v>
      </c>
      <c r="D106" s="80" t="s">
        <v>110</v>
      </c>
      <c r="E106" s="80" t="s">
        <v>111</v>
      </c>
      <c r="F106" s="80" t="s">
        <v>203</v>
      </c>
      <c r="G106" s="80" t="s">
        <v>112</v>
      </c>
      <c r="K106" s="20"/>
      <c r="L106" s="20"/>
      <c r="Y106" s="7"/>
    </row>
    <row r="107" spans="2:33" ht="20.25" customHeight="1" x14ac:dyDescent="0.25">
      <c r="C107" s="59" t="s">
        <v>113</v>
      </c>
      <c r="D107" s="60">
        <f>(AA11/30)*24</f>
        <v>205917606.61380413</v>
      </c>
      <c r="E107" s="60">
        <f>+(((AB12*AB97)+(AC12*AC97)+(AD12*AD97)+(AE12*AE97)+(AF12*AF97)+(AG12*AG97)))/((30))*24</f>
        <v>2094186.7520000003</v>
      </c>
      <c r="F107" s="61">
        <f>+E107*0.052</f>
        <v>108897.71110400002</v>
      </c>
      <c r="G107" s="60">
        <f t="shared" ref="G107:G113" si="28">SUM(D107:F107)</f>
        <v>208120691.07690814</v>
      </c>
      <c r="K107" s="21"/>
      <c r="L107" s="20"/>
      <c r="Y107" s="7"/>
    </row>
    <row r="108" spans="2:33" ht="20.25" customHeight="1" x14ac:dyDescent="0.25">
      <c r="C108" s="59" t="s">
        <v>42</v>
      </c>
      <c r="D108" s="60">
        <f>(AA17/30)*24</f>
        <v>262961752.28634435</v>
      </c>
      <c r="E108" s="60">
        <f>+(((AB18*AB97)+(AC18*AC97)+(AD18*AD97)+(AE18*AE97)+(AF18*AF97)+(AG18*AG97)))/((30))*24</f>
        <v>3877654.0320000001</v>
      </c>
      <c r="F108" s="61">
        <f t="shared" ref="F108:F112" si="29">+E108*0.052</f>
        <v>201638.00966399998</v>
      </c>
      <c r="G108" s="60">
        <f t="shared" si="28"/>
        <v>267041044.32800835</v>
      </c>
      <c r="K108" s="21"/>
      <c r="L108" s="20"/>
      <c r="Y108" s="7"/>
    </row>
    <row r="109" spans="2:33" ht="20.25" customHeight="1" x14ac:dyDescent="0.25">
      <c r="C109" s="59" t="s">
        <v>50</v>
      </c>
      <c r="D109" s="60">
        <f>(AA32/30)*24</f>
        <v>311857713.14973378</v>
      </c>
      <c r="E109" s="60">
        <f>+(((AB33*AB97)+(AC33*AC97)+(AD33*AD97)+(AE33*AE97)+(AF33*AF97)+(AG33*AG97)))/((30))*24</f>
        <v>3365716.9840000002</v>
      </c>
      <c r="F109" s="61">
        <f t="shared" si="29"/>
        <v>175017.28316799999</v>
      </c>
      <c r="G109" s="60">
        <f t="shared" si="28"/>
        <v>315398447.41690183</v>
      </c>
      <c r="K109" s="21"/>
      <c r="L109" s="20"/>
      <c r="Y109" s="7"/>
    </row>
    <row r="110" spans="2:33" ht="20.25" customHeight="1" x14ac:dyDescent="0.25">
      <c r="C110" s="59" t="s">
        <v>114</v>
      </c>
      <c r="D110" s="60">
        <f>(AA48/30)*24</f>
        <v>372850498.59629101</v>
      </c>
      <c r="E110" s="60">
        <f>+(((AB49*AB97)+(AC49*AC97)+(AD49*AD97)+(AE49*AE97)+(AF49*AF97)+(AG49*AG97)))/((30))*24</f>
        <v>2965308.6399999997</v>
      </c>
      <c r="F110" s="61">
        <f t="shared" si="29"/>
        <v>154196.04927999998</v>
      </c>
      <c r="G110" s="60">
        <f t="shared" si="28"/>
        <v>375970003.28557098</v>
      </c>
      <c r="K110" s="21"/>
      <c r="L110" s="20"/>
      <c r="Y110" s="7"/>
    </row>
    <row r="111" spans="2:33" ht="20.25" customHeight="1" x14ac:dyDescent="0.25">
      <c r="C111" s="59" t="s">
        <v>75</v>
      </c>
      <c r="D111" s="60">
        <f>(AA56/30)*24</f>
        <v>380992128.69484544</v>
      </c>
      <c r="E111" s="60">
        <f>+(((AB57*AB97)+(AC57*AC97)+(AD57*AD97)+(AE57*AE97)+(AF57*AF97)+(AG57*AG97)))/((30))*24</f>
        <v>2481810.6880000001</v>
      </c>
      <c r="F111" s="61">
        <f t="shared" si="29"/>
        <v>129054.155776</v>
      </c>
      <c r="G111" s="60">
        <f t="shared" si="28"/>
        <v>383602993.53862149</v>
      </c>
      <c r="K111" s="21"/>
      <c r="L111" s="20"/>
      <c r="Y111" s="7"/>
    </row>
    <row r="112" spans="2:33" ht="20.25" customHeight="1" x14ac:dyDescent="0.25">
      <c r="C112" s="59" t="s">
        <v>78</v>
      </c>
      <c r="D112" s="60">
        <f>(AA85/30)*24</f>
        <v>823258488.77017057</v>
      </c>
      <c r="E112" s="60">
        <f>+(((AB86*AB97)+(AC86*AC97)+(AD86*AD97)+(AE86*AE97)+(AF86*AF97)+(AG86*AG97)))/((30))*24</f>
        <v>10453984.352000002</v>
      </c>
      <c r="F112" s="61">
        <f t="shared" si="29"/>
        <v>543607.18630400009</v>
      </c>
      <c r="G112" s="60">
        <f t="shared" si="28"/>
        <v>834256080.30847454</v>
      </c>
      <c r="K112" s="21"/>
      <c r="L112" s="20"/>
      <c r="Y112" s="7"/>
    </row>
    <row r="113" spans="3:25" ht="20.25" customHeight="1" x14ac:dyDescent="0.25">
      <c r="C113" s="64" t="s">
        <v>115</v>
      </c>
      <c r="D113" s="62">
        <f>SUM(D107:D112)</f>
        <v>2357838188.1111894</v>
      </c>
      <c r="E113" s="62">
        <f>SUM(E107:E112)</f>
        <v>25238661.448000003</v>
      </c>
      <c r="F113" s="62">
        <f>SUM(F107:F112)</f>
        <v>1312410.3952959999</v>
      </c>
      <c r="G113" s="62">
        <f t="shared" si="28"/>
        <v>2384389259.9544854</v>
      </c>
      <c r="K113" s="20"/>
      <c r="L113" s="20"/>
      <c r="Y113" s="7"/>
    </row>
    <row r="116" spans="3:25" x14ac:dyDescent="0.25">
      <c r="D116" s="108"/>
    </row>
    <row r="117" spans="3:25" x14ac:dyDescent="0.25">
      <c r="D117" s="108"/>
      <c r="M117" s="43"/>
    </row>
    <row r="120" spans="3:25" x14ac:dyDescent="0.25">
      <c r="D120" s="106"/>
    </row>
    <row r="121" spans="3:25" x14ac:dyDescent="0.25">
      <c r="D121" s="106"/>
    </row>
  </sheetData>
  <mergeCells count="6">
    <mergeCell ref="B86:E86"/>
    <mergeCell ref="B12:E12"/>
    <mergeCell ref="B18:E18"/>
    <mergeCell ref="B33:E33"/>
    <mergeCell ref="B49:E49"/>
    <mergeCell ref="B57:E57"/>
  </mergeCells>
  <pageMargins left="0.27559055118110237" right="0.31496062992125984" top="0.74803149606299213" bottom="0.74803149606299213" header="0.31496062992125984" footer="0.31496062992125984"/>
  <pageSetup paperSize="14" scale="50" orientation="landscape" r:id="rId1"/>
  <ignoredErrors>
    <ignoredError sqref="G100 AA18 AA49 AA57 M91:X91 Y91:Z91 G91:L91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H125"/>
  <sheetViews>
    <sheetView showGridLines="0" zoomScale="90" zoomScaleNormal="90" workbookViewId="0">
      <pane xSplit="5" ySplit="1" topLeftCell="O92" activePane="bottomRight" state="frozen"/>
      <selection pane="topRight" activeCell="F1" sqref="F1"/>
      <selection pane="bottomLeft" activeCell="A2" sqref="A2"/>
      <selection pane="bottomRight" activeCell="E113" sqref="E113"/>
    </sheetView>
  </sheetViews>
  <sheetFormatPr baseColWidth="10" defaultColWidth="9.140625" defaultRowHeight="16.5" customHeight="1" x14ac:dyDescent="0.25"/>
  <cols>
    <col min="1" max="1" width="2.5703125" style="7" customWidth="1"/>
    <col min="2" max="2" width="12.85546875" style="12" customWidth="1"/>
    <col min="3" max="3" width="34" style="8" customWidth="1"/>
    <col min="4" max="4" width="29.85546875" style="8" customWidth="1"/>
    <col min="5" max="5" width="21.85546875" style="8" customWidth="1"/>
    <col min="6" max="6" width="20.5703125" style="9" customWidth="1"/>
    <col min="7" max="7" width="23.140625" style="9" customWidth="1"/>
    <col min="8" max="8" width="17.140625" style="9" customWidth="1"/>
    <col min="9" max="9" width="17.140625" style="9" hidden="1" customWidth="1"/>
    <col min="10" max="10" width="20.42578125" style="9" hidden="1" customWidth="1"/>
    <col min="11" max="11" width="21.42578125" style="9" hidden="1" customWidth="1"/>
    <col min="12" max="12" width="16.7109375" style="9" customWidth="1"/>
    <col min="13" max="13" width="17.42578125" style="9" customWidth="1"/>
    <col min="14" max="14" width="13.7109375" style="9" hidden="1" customWidth="1"/>
    <col min="15" max="15" width="16" style="9" customWidth="1"/>
    <col min="16" max="16" width="19" style="9" customWidth="1"/>
    <col min="17" max="17" width="17.42578125" style="9" customWidth="1"/>
    <col min="18" max="18" width="17.5703125" style="9" hidden="1" customWidth="1"/>
    <col min="19" max="19" width="18" style="9" hidden="1" customWidth="1"/>
    <col min="20" max="20" width="17.28515625" style="9" hidden="1" customWidth="1"/>
    <col min="21" max="21" width="14.7109375" style="9" customWidth="1"/>
    <col min="22" max="22" width="18.42578125" style="9" customWidth="1"/>
    <col min="23" max="23" width="17.140625" style="9" customWidth="1"/>
    <col min="24" max="24" width="18.85546875" style="9" customWidth="1"/>
    <col min="25" max="25" width="18.42578125" style="9" customWidth="1"/>
    <col min="26" max="26" width="16.7109375" style="7" customWidth="1"/>
    <col min="27" max="27" width="26.28515625" style="7" customWidth="1"/>
    <col min="28" max="33" width="15.85546875" style="7" customWidth="1"/>
    <col min="34" max="16384" width="9.140625" style="7"/>
  </cols>
  <sheetData>
    <row r="1" spans="2:33" s="1" customFormat="1" ht="99.75" customHeight="1" x14ac:dyDescent="0.25">
      <c r="B1" s="81" t="s">
        <v>0</v>
      </c>
      <c r="C1" s="81" t="s">
        <v>1</v>
      </c>
      <c r="D1" s="81" t="s">
        <v>2</v>
      </c>
      <c r="E1" s="81" t="s">
        <v>3</v>
      </c>
      <c r="F1" s="82" t="s">
        <v>4</v>
      </c>
      <c r="G1" s="82" t="s">
        <v>5</v>
      </c>
      <c r="H1" s="82" t="s">
        <v>6</v>
      </c>
      <c r="I1" s="82" t="s">
        <v>7</v>
      </c>
      <c r="J1" s="82" t="s">
        <v>8</v>
      </c>
      <c r="K1" s="82" t="s">
        <v>9</v>
      </c>
      <c r="L1" s="82" t="s">
        <v>10</v>
      </c>
      <c r="M1" s="82" t="s">
        <v>11</v>
      </c>
      <c r="N1" s="82" t="s">
        <v>12</v>
      </c>
      <c r="O1" s="82" t="s">
        <v>13</v>
      </c>
      <c r="P1" s="82" t="s">
        <v>14</v>
      </c>
      <c r="Q1" s="82" t="s">
        <v>15</v>
      </c>
      <c r="R1" s="82" t="s">
        <v>16</v>
      </c>
      <c r="S1" s="82" t="s">
        <v>17</v>
      </c>
      <c r="T1" s="81" t="s">
        <v>18</v>
      </c>
      <c r="U1" s="82" t="s">
        <v>19</v>
      </c>
      <c r="V1" s="82" t="s">
        <v>20</v>
      </c>
      <c r="W1" s="83" t="s">
        <v>21</v>
      </c>
      <c r="X1" s="82" t="s">
        <v>22</v>
      </c>
      <c r="Y1" s="82" t="s">
        <v>23</v>
      </c>
      <c r="Z1" s="82" t="s">
        <v>24</v>
      </c>
      <c r="AA1" s="84" t="s">
        <v>25</v>
      </c>
      <c r="AB1" s="82" t="s">
        <v>26</v>
      </c>
      <c r="AC1" s="82" t="s">
        <v>27</v>
      </c>
      <c r="AD1" s="82" t="s">
        <v>28</v>
      </c>
      <c r="AE1" s="82" t="s">
        <v>29</v>
      </c>
      <c r="AF1" s="82" t="s">
        <v>30</v>
      </c>
      <c r="AG1" s="82" t="s">
        <v>31</v>
      </c>
    </row>
    <row r="2" spans="2:33" s="2" customFormat="1" ht="49.5" customHeight="1" x14ac:dyDescent="0.25">
      <c r="B2" s="30" t="s">
        <v>32</v>
      </c>
      <c r="C2" s="27" t="s">
        <v>33</v>
      </c>
      <c r="D2" s="27" t="s">
        <v>151</v>
      </c>
      <c r="E2" s="27" t="s">
        <v>35</v>
      </c>
      <c r="F2" s="28">
        <v>0</v>
      </c>
      <c r="G2" s="31">
        <v>1</v>
      </c>
      <c r="H2" s="28">
        <v>0</v>
      </c>
      <c r="I2" s="28">
        <v>0</v>
      </c>
      <c r="J2" s="28">
        <v>0</v>
      </c>
      <c r="K2" s="28">
        <v>0</v>
      </c>
      <c r="L2" s="28">
        <v>0</v>
      </c>
      <c r="M2" s="28">
        <v>0</v>
      </c>
      <c r="N2" s="28">
        <v>0</v>
      </c>
      <c r="O2" s="28">
        <v>0</v>
      </c>
      <c r="P2" s="28">
        <v>0</v>
      </c>
      <c r="Q2" s="28">
        <v>0</v>
      </c>
      <c r="R2" s="28">
        <v>0</v>
      </c>
      <c r="S2" s="28">
        <v>0</v>
      </c>
      <c r="T2" s="28">
        <v>0</v>
      </c>
      <c r="U2" s="28">
        <v>0</v>
      </c>
      <c r="V2" s="28">
        <v>0</v>
      </c>
      <c r="W2" s="28">
        <v>0</v>
      </c>
      <c r="X2" s="28">
        <v>0</v>
      </c>
      <c r="Y2" s="28">
        <v>0</v>
      </c>
      <c r="Z2" s="28">
        <v>0</v>
      </c>
      <c r="AB2" s="35">
        <v>19</v>
      </c>
      <c r="AC2" s="35">
        <v>2</v>
      </c>
      <c r="AD2" s="35">
        <v>1</v>
      </c>
      <c r="AE2" s="35">
        <v>1</v>
      </c>
      <c r="AF2" s="35">
        <v>1</v>
      </c>
      <c r="AG2" s="35">
        <v>2</v>
      </c>
    </row>
    <row r="3" spans="2:33" s="2" customFormat="1" ht="48" customHeight="1" x14ac:dyDescent="0.25">
      <c r="B3" s="29" t="s">
        <v>32</v>
      </c>
      <c r="C3" s="27" t="s">
        <v>34</v>
      </c>
      <c r="D3" s="27" t="s">
        <v>151</v>
      </c>
      <c r="E3" s="27" t="s">
        <v>35</v>
      </c>
      <c r="F3" s="28">
        <v>0</v>
      </c>
      <c r="G3" s="31">
        <v>3</v>
      </c>
      <c r="H3" s="28">
        <v>0</v>
      </c>
      <c r="I3" s="28">
        <v>0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0</v>
      </c>
      <c r="R3" s="28">
        <v>0</v>
      </c>
      <c r="S3" s="28">
        <v>0</v>
      </c>
      <c r="T3" s="28">
        <v>0</v>
      </c>
      <c r="U3" s="28">
        <v>0</v>
      </c>
      <c r="V3" s="28">
        <v>0</v>
      </c>
      <c r="W3" s="28">
        <v>0</v>
      </c>
      <c r="X3" s="28">
        <v>0</v>
      </c>
      <c r="Y3" s="28">
        <v>0</v>
      </c>
      <c r="Z3" s="28">
        <v>0</v>
      </c>
      <c r="AB3" s="32">
        <v>0</v>
      </c>
      <c r="AC3" s="32">
        <v>0</v>
      </c>
      <c r="AD3" s="32">
        <v>0</v>
      </c>
      <c r="AE3" s="32">
        <v>0</v>
      </c>
      <c r="AF3" s="32">
        <v>0</v>
      </c>
      <c r="AG3" s="32">
        <v>0</v>
      </c>
    </row>
    <row r="4" spans="2:33" s="2" customFormat="1" ht="48" customHeight="1" x14ac:dyDescent="0.25">
      <c r="B4" s="29" t="s">
        <v>32</v>
      </c>
      <c r="C4" s="27" t="s">
        <v>34</v>
      </c>
      <c r="D4" s="27" t="s">
        <v>150</v>
      </c>
      <c r="E4" s="27" t="s">
        <v>35</v>
      </c>
      <c r="F4" s="28">
        <v>0</v>
      </c>
      <c r="G4" s="31">
        <v>2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B4" s="32">
        <v>15</v>
      </c>
      <c r="AC4" s="32">
        <v>0</v>
      </c>
      <c r="AD4" s="35">
        <v>1</v>
      </c>
      <c r="AE4" s="35">
        <v>1</v>
      </c>
      <c r="AF4" s="32">
        <v>0</v>
      </c>
      <c r="AG4" s="35">
        <v>1</v>
      </c>
    </row>
    <row r="5" spans="2:33" s="2" customFormat="1" ht="49.5" customHeight="1" x14ac:dyDescent="0.25">
      <c r="B5" s="29" t="s">
        <v>32</v>
      </c>
      <c r="C5" s="27" t="s">
        <v>34</v>
      </c>
      <c r="D5" s="27" t="s">
        <v>178</v>
      </c>
      <c r="E5" s="27" t="s">
        <v>35</v>
      </c>
      <c r="F5" s="28">
        <v>0</v>
      </c>
      <c r="G5" s="31">
        <v>1</v>
      </c>
      <c r="H5" s="28">
        <v>0</v>
      </c>
      <c r="I5" s="28">
        <v>0</v>
      </c>
      <c r="J5" s="28">
        <v>0</v>
      </c>
      <c r="K5" s="28">
        <v>0</v>
      </c>
      <c r="L5" s="28">
        <v>0</v>
      </c>
      <c r="M5" s="28">
        <v>0</v>
      </c>
      <c r="N5" s="28">
        <v>0</v>
      </c>
      <c r="O5" s="28">
        <v>0</v>
      </c>
      <c r="P5" s="28">
        <v>0</v>
      </c>
      <c r="Q5" s="28">
        <v>0</v>
      </c>
      <c r="R5" s="28">
        <v>0</v>
      </c>
      <c r="S5" s="28">
        <v>0</v>
      </c>
      <c r="T5" s="28">
        <v>0</v>
      </c>
      <c r="U5" s="28">
        <v>0</v>
      </c>
      <c r="V5" s="28">
        <v>0</v>
      </c>
      <c r="W5" s="28">
        <v>0</v>
      </c>
      <c r="X5" s="28">
        <v>0</v>
      </c>
      <c r="Y5" s="28">
        <v>0</v>
      </c>
      <c r="Z5" s="28">
        <v>0</v>
      </c>
      <c r="AB5" s="32">
        <v>7</v>
      </c>
      <c r="AC5" s="32">
        <v>0</v>
      </c>
      <c r="AD5" s="35">
        <v>1</v>
      </c>
      <c r="AE5" s="35">
        <v>1</v>
      </c>
      <c r="AF5" s="32">
        <v>0</v>
      </c>
      <c r="AG5" s="35">
        <v>1</v>
      </c>
    </row>
    <row r="6" spans="2:33" s="2" customFormat="1" ht="49.5" customHeight="1" x14ac:dyDescent="0.25">
      <c r="B6" s="29" t="s">
        <v>32</v>
      </c>
      <c r="C6" s="27" t="s">
        <v>34</v>
      </c>
      <c r="D6" s="27" t="s">
        <v>144</v>
      </c>
      <c r="E6" s="27" t="s">
        <v>36</v>
      </c>
      <c r="F6" s="28">
        <v>0</v>
      </c>
      <c r="G6" s="31">
        <v>2</v>
      </c>
      <c r="H6" s="28">
        <v>0</v>
      </c>
      <c r="I6" s="28">
        <v>0</v>
      </c>
      <c r="J6" s="28">
        <v>0</v>
      </c>
      <c r="K6" s="28">
        <v>0</v>
      </c>
      <c r="L6" s="28">
        <v>0</v>
      </c>
      <c r="M6" s="28">
        <v>0</v>
      </c>
      <c r="N6" s="28">
        <v>0</v>
      </c>
      <c r="O6" s="28">
        <v>0</v>
      </c>
      <c r="P6" s="28">
        <v>0</v>
      </c>
      <c r="Q6" s="28">
        <v>0</v>
      </c>
      <c r="R6" s="28">
        <v>0</v>
      </c>
      <c r="S6" s="28">
        <v>0</v>
      </c>
      <c r="T6" s="28">
        <v>0</v>
      </c>
      <c r="U6" s="28">
        <v>0</v>
      </c>
      <c r="V6" s="28">
        <v>0</v>
      </c>
      <c r="W6" s="28">
        <v>0</v>
      </c>
      <c r="X6" s="31">
        <v>1</v>
      </c>
      <c r="Y6" s="28">
        <v>0</v>
      </c>
      <c r="Z6" s="28">
        <v>0</v>
      </c>
      <c r="AB6" s="32">
        <v>11</v>
      </c>
      <c r="AC6" s="32">
        <v>0</v>
      </c>
      <c r="AD6" s="35">
        <v>1</v>
      </c>
      <c r="AE6" s="35">
        <v>1</v>
      </c>
      <c r="AF6" s="32">
        <v>0</v>
      </c>
      <c r="AG6" s="35">
        <v>1</v>
      </c>
    </row>
    <row r="7" spans="2:33" s="2" customFormat="1" ht="48" customHeight="1" x14ac:dyDescent="0.25">
      <c r="B7" s="29" t="s">
        <v>32</v>
      </c>
      <c r="C7" s="27" t="s">
        <v>34</v>
      </c>
      <c r="D7" s="27" t="s">
        <v>145</v>
      </c>
      <c r="E7" s="27" t="s">
        <v>36</v>
      </c>
      <c r="F7" s="28">
        <v>0</v>
      </c>
      <c r="G7" s="31">
        <v>1</v>
      </c>
      <c r="H7" s="28">
        <v>0</v>
      </c>
      <c r="I7" s="28"/>
      <c r="J7" s="28"/>
      <c r="K7" s="28"/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B7" s="32">
        <v>0</v>
      </c>
      <c r="AC7" s="32">
        <v>0</v>
      </c>
      <c r="AD7" s="32">
        <v>0</v>
      </c>
      <c r="AE7" s="32">
        <v>0</v>
      </c>
      <c r="AF7" s="32">
        <v>0</v>
      </c>
      <c r="AG7" s="32">
        <v>0</v>
      </c>
    </row>
    <row r="8" spans="2:33" s="2" customFormat="1" ht="48" customHeight="1" x14ac:dyDescent="0.25">
      <c r="B8" s="29" t="s">
        <v>32</v>
      </c>
      <c r="C8" s="27" t="s">
        <v>34</v>
      </c>
      <c r="D8" s="27" t="s">
        <v>179</v>
      </c>
      <c r="E8" s="27" t="s">
        <v>37</v>
      </c>
      <c r="F8" s="28">
        <v>0</v>
      </c>
      <c r="G8" s="31">
        <v>2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0</v>
      </c>
      <c r="W8" s="28">
        <v>0</v>
      </c>
      <c r="X8" s="28">
        <v>0</v>
      </c>
      <c r="Y8" s="28">
        <v>0</v>
      </c>
      <c r="Z8" s="28">
        <v>0</v>
      </c>
      <c r="AB8" s="35">
        <v>16</v>
      </c>
      <c r="AC8" s="32">
        <v>0</v>
      </c>
      <c r="AD8" s="35">
        <v>1</v>
      </c>
      <c r="AE8" s="35">
        <v>1</v>
      </c>
      <c r="AF8" s="32">
        <v>0</v>
      </c>
      <c r="AG8" s="35">
        <v>3</v>
      </c>
    </row>
    <row r="9" spans="2:33" s="2" customFormat="1" ht="48" customHeight="1" x14ac:dyDescent="0.25">
      <c r="B9" s="29" t="s">
        <v>32</v>
      </c>
      <c r="C9" s="27" t="s">
        <v>34</v>
      </c>
      <c r="D9" s="27" t="s">
        <v>38</v>
      </c>
      <c r="E9" s="27" t="s">
        <v>37</v>
      </c>
      <c r="F9" s="28">
        <v>0</v>
      </c>
      <c r="G9" s="31">
        <v>2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58">
        <f>(AA11/30)*6</f>
        <v>52775696.557755858</v>
      </c>
      <c r="AB9" s="32">
        <v>0</v>
      </c>
      <c r="AC9" s="32">
        <v>0</v>
      </c>
      <c r="AD9" s="32">
        <v>0</v>
      </c>
      <c r="AE9" s="32">
        <v>0</v>
      </c>
      <c r="AF9" s="32">
        <v>0</v>
      </c>
      <c r="AG9" s="32">
        <v>0</v>
      </c>
    </row>
    <row r="10" spans="2:33" s="2" customFormat="1" ht="48" customHeight="1" x14ac:dyDescent="0.25">
      <c r="B10" s="29" t="s">
        <v>32</v>
      </c>
      <c r="C10" s="27" t="s">
        <v>34</v>
      </c>
      <c r="D10" s="27" t="s">
        <v>39</v>
      </c>
      <c r="E10" s="27" t="s">
        <v>40</v>
      </c>
      <c r="F10" s="28">
        <v>0</v>
      </c>
      <c r="G10" s="31">
        <v>1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B10" s="32">
        <v>0</v>
      </c>
      <c r="AC10" s="32">
        <v>0</v>
      </c>
      <c r="AD10" s="32">
        <v>0</v>
      </c>
      <c r="AE10" s="32">
        <v>0</v>
      </c>
      <c r="AF10" s="32">
        <v>0</v>
      </c>
      <c r="AG10" s="32">
        <v>0</v>
      </c>
    </row>
    <row r="11" spans="2:33" s="2" customFormat="1" ht="48" customHeight="1" x14ac:dyDescent="0.25">
      <c r="B11" s="29" t="s">
        <v>32</v>
      </c>
      <c r="C11" s="27" t="s">
        <v>34</v>
      </c>
      <c r="D11" s="27" t="s">
        <v>180</v>
      </c>
      <c r="E11" s="27" t="s">
        <v>40</v>
      </c>
      <c r="F11" s="28">
        <v>0</v>
      </c>
      <c r="G11" s="31">
        <v>2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58">
        <f>+(G12*G97)+(X12*X97)</f>
        <v>263878482.78877929</v>
      </c>
      <c r="AB11" s="35">
        <v>15</v>
      </c>
      <c r="AC11" s="32">
        <v>0</v>
      </c>
      <c r="AD11" s="35">
        <v>1</v>
      </c>
      <c r="AE11" s="35">
        <v>1</v>
      </c>
      <c r="AF11" s="32">
        <v>0</v>
      </c>
      <c r="AG11" s="35">
        <v>3</v>
      </c>
    </row>
    <row r="12" spans="2:33" s="53" customFormat="1" ht="19.5" customHeight="1" x14ac:dyDescent="0.25">
      <c r="B12" s="165" t="s">
        <v>41</v>
      </c>
      <c r="C12" s="165"/>
      <c r="D12" s="165"/>
      <c r="E12" s="165"/>
      <c r="F12" s="85">
        <f t="shared" ref="F12:Z12" si="0">SUM(F2:F11)</f>
        <v>0</v>
      </c>
      <c r="G12" s="85">
        <f t="shared" si="0"/>
        <v>17</v>
      </c>
      <c r="H12" s="85">
        <f t="shared" si="0"/>
        <v>0</v>
      </c>
      <c r="I12" s="85">
        <f t="shared" si="0"/>
        <v>0</v>
      </c>
      <c r="J12" s="85">
        <f t="shared" si="0"/>
        <v>0</v>
      </c>
      <c r="K12" s="85">
        <f t="shared" si="0"/>
        <v>0</v>
      </c>
      <c r="L12" s="85">
        <f t="shared" si="0"/>
        <v>0</v>
      </c>
      <c r="M12" s="85">
        <f t="shared" si="0"/>
        <v>0</v>
      </c>
      <c r="N12" s="85">
        <f t="shared" si="0"/>
        <v>0</v>
      </c>
      <c r="O12" s="85">
        <f t="shared" si="0"/>
        <v>0</v>
      </c>
      <c r="P12" s="85">
        <f t="shared" si="0"/>
        <v>0</v>
      </c>
      <c r="Q12" s="85">
        <f t="shared" si="0"/>
        <v>0</v>
      </c>
      <c r="R12" s="85">
        <f t="shared" si="0"/>
        <v>0</v>
      </c>
      <c r="S12" s="85">
        <f t="shared" si="0"/>
        <v>0</v>
      </c>
      <c r="T12" s="85">
        <f t="shared" si="0"/>
        <v>0</v>
      </c>
      <c r="U12" s="85">
        <f t="shared" si="0"/>
        <v>0</v>
      </c>
      <c r="V12" s="85">
        <f t="shared" si="0"/>
        <v>0</v>
      </c>
      <c r="W12" s="85">
        <f t="shared" si="0"/>
        <v>0</v>
      </c>
      <c r="X12" s="85">
        <f t="shared" si="0"/>
        <v>1</v>
      </c>
      <c r="Y12" s="85">
        <f t="shared" si="0"/>
        <v>0</v>
      </c>
      <c r="Z12" s="85">
        <f t="shared" si="0"/>
        <v>0</v>
      </c>
      <c r="AA12" s="86">
        <f>SUM(F12:Z12)</f>
        <v>18</v>
      </c>
      <c r="AB12" s="87">
        <f t="shared" ref="AB12:AG12" si="1">SUM(AB2:AB11)</f>
        <v>83</v>
      </c>
      <c r="AC12" s="87">
        <f t="shared" si="1"/>
        <v>2</v>
      </c>
      <c r="AD12" s="87">
        <f t="shared" si="1"/>
        <v>6</v>
      </c>
      <c r="AE12" s="87">
        <f t="shared" si="1"/>
        <v>6</v>
      </c>
      <c r="AF12" s="87">
        <f t="shared" si="1"/>
        <v>1</v>
      </c>
      <c r="AG12" s="87">
        <f t="shared" si="1"/>
        <v>11</v>
      </c>
    </row>
    <row r="13" spans="2:33" s="2" customFormat="1" ht="49.5" customHeight="1" x14ac:dyDescent="0.25">
      <c r="B13" s="30" t="s">
        <v>42</v>
      </c>
      <c r="C13" s="27" t="s">
        <v>43</v>
      </c>
      <c r="D13" s="27" t="s">
        <v>181</v>
      </c>
      <c r="E13" s="27" t="s">
        <v>45</v>
      </c>
      <c r="F13" s="28">
        <v>0</v>
      </c>
      <c r="G13" s="31">
        <v>1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32">
        <v>0</v>
      </c>
    </row>
    <row r="14" spans="2:33" s="2" customFormat="1" ht="48" customHeight="1" x14ac:dyDescent="0.25">
      <c r="B14" s="29" t="s">
        <v>42</v>
      </c>
      <c r="C14" s="27" t="s">
        <v>44</v>
      </c>
      <c r="D14" s="27" t="s">
        <v>181</v>
      </c>
      <c r="E14" s="27" t="s">
        <v>45</v>
      </c>
      <c r="F14" s="31">
        <v>1</v>
      </c>
      <c r="G14" s="31">
        <v>3</v>
      </c>
      <c r="H14" s="31">
        <v>1</v>
      </c>
      <c r="I14" s="28">
        <v>0</v>
      </c>
      <c r="J14" s="28">
        <v>0</v>
      </c>
      <c r="K14" s="28">
        <v>0</v>
      </c>
      <c r="L14" s="28">
        <v>0</v>
      </c>
      <c r="M14" s="31">
        <v>1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31">
        <v>1</v>
      </c>
      <c r="Z14" s="28">
        <v>0</v>
      </c>
      <c r="AB14" s="35">
        <v>58</v>
      </c>
      <c r="AC14" s="35">
        <v>2</v>
      </c>
      <c r="AD14" s="35">
        <v>2</v>
      </c>
      <c r="AE14" s="35">
        <v>2</v>
      </c>
      <c r="AF14" s="35">
        <v>1</v>
      </c>
      <c r="AG14" s="35">
        <v>5</v>
      </c>
    </row>
    <row r="15" spans="2:33" s="2" customFormat="1" ht="47.25" customHeight="1" x14ac:dyDescent="0.25">
      <c r="B15" s="29" t="s">
        <v>42</v>
      </c>
      <c r="C15" s="27" t="s">
        <v>46</v>
      </c>
      <c r="D15" s="27" t="s">
        <v>181</v>
      </c>
      <c r="E15" s="27" t="s">
        <v>45</v>
      </c>
      <c r="F15" s="31"/>
      <c r="G15" s="31">
        <v>2</v>
      </c>
      <c r="H15" s="31">
        <v>1</v>
      </c>
      <c r="I15" s="100"/>
      <c r="J15" s="100"/>
      <c r="K15" s="100"/>
      <c r="L15" s="28"/>
      <c r="M15" s="28"/>
      <c r="N15" s="28"/>
      <c r="O15" s="28"/>
      <c r="P15" s="28">
        <v>1</v>
      </c>
      <c r="Q15" s="28"/>
      <c r="R15" s="28"/>
      <c r="S15" s="28"/>
      <c r="T15" s="28"/>
      <c r="U15" s="28"/>
      <c r="V15" s="28"/>
      <c r="W15" s="28"/>
      <c r="X15" s="28"/>
      <c r="Y15" s="28"/>
      <c r="Z15" s="28"/>
      <c r="AB15" s="35">
        <v>5</v>
      </c>
      <c r="AC15" s="32">
        <v>40</v>
      </c>
      <c r="AD15" s="32">
        <v>2</v>
      </c>
      <c r="AE15" s="32">
        <v>2</v>
      </c>
      <c r="AF15" s="32">
        <v>1</v>
      </c>
      <c r="AG15" s="32"/>
    </row>
    <row r="16" spans="2:33" s="2" customFormat="1" ht="48" customHeight="1" x14ac:dyDescent="0.25">
      <c r="B16" s="29" t="s">
        <v>42</v>
      </c>
      <c r="C16" s="27" t="s">
        <v>44</v>
      </c>
      <c r="D16" s="27" t="s">
        <v>152</v>
      </c>
      <c r="E16" s="27" t="s">
        <v>47</v>
      </c>
      <c r="F16" s="31">
        <v>3</v>
      </c>
      <c r="G16" s="31">
        <v>4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58">
        <f>(AA17/30)*6</f>
        <v>67395837.943026721</v>
      </c>
      <c r="AB16" s="35">
        <v>10</v>
      </c>
      <c r="AC16" s="32">
        <v>0</v>
      </c>
      <c r="AD16" s="35">
        <v>1</v>
      </c>
      <c r="AE16" s="35">
        <v>1</v>
      </c>
      <c r="AF16" s="32">
        <v>0</v>
      </c>
      <c r="AG16" s="35">
        <v>3</v>
      </c>
    </row>
    <row r="17" spans="2:34" s="2" customFormat="1" ht="48" customHeight="1" x14ac:dyDescent="0.25">
      <c r="B17" s="29" t="s">
        <v>42</v>
      </c>
      <c r="C17" s="27" t="s">
        <v>44</v>
      </c>
      <c r="D17" s="27" t="s">
        <v>146</v>
      </c>
      <c r="E17" s="27" t="s">
        <v>48</v>
      </c>
      <c r="F17" s="31">
        <v>2</v>
      </c>
      <c r="G17" s="31">
        <v>3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58">
        <f>+(F18*F97)+(G18*G97)+(H18*H97)+(M18*M97)+(P18*P97)+(Y18*Y97)</f>
        <v>336979189.71513361</v>
      </c>
      <c r="AB17" s="35">
        <v>10</v>
      </c>
      <c r="AC17" s="32">
        <v>0</v>
      </c>
      <c r="AD17" s="35">
        <v>1</v>
      </c>
      <c r="AE17" s="35">
        <v>1</v>
      </c>
      <c r="AF17" s="32">
        <v>0</v>
      </c>
      <c r="AG17" s="35">
        <v>3</v>
      </c>
    </row>
    <row r="18" spans="2:34" s="53" customFormat="1" ht="19.5" customHeight="1" x14ac:dyDescent="0.25">
      <c r="B18" s="165" t="s">
        <v>49</v>
      </c>
      <c r="C18" s="165"/>
      <c r="D18" s="165"/>
      <c r="E18" s="165"/>
      <c r="F18" s="85">
        <f t="shared" ref="F18:Z18" si="2">SUM(F13:F17)</f>
        <v>6</v>
      </c>
      <c r="G18" s="85">
        <f t="shared" si="2"/>
        <v>13</v>
      </c>
      <c r="H18" s="85">
        <f t="shared" si="2"/>
        <v>2</v>
      </c>
      <c r="I18" s="85">
        <f t="shared" si="2"/>
        <v>0</v>
      </c>
      <c r="J18" s="85">
        <f t="shared" si="2"/>
        <v>0</v>
      </c>
      <c r="K18" s="85">
        <f t="shared" si="2"/>
        <v>0</v>
      </c>
      <c r="L18" s="85">
        <f t="shared" si="2"/>
        <v>0</v>
      </c>
      <c r="M18" s="85">
        <f t="shared" si="2"/>
        <v>1</v>
      </c>
      <c r="N18" s="85">
        <f t="shared" si="2"/>
        <v>0</v>
      </c>
      <c r="O18" s="85">
        <f t="shared" si="2"/>
        <v>0</v>
      </c>
      <c r="P18" s="85">
        <f t="shared" si="2"/>
        <v>1</v>
      </c>
      <c r="Q18" s="85">
        <f t="shared" si="2"/>
        <v>0</v>
      </c>
      <c r="R18" s="85">
        <f t="shared" si="2"/>
        <v>0</v>
      </c>
      <c r="S18" s="85">
        <f t="shared" si="2"/>
        <v>0</v>
      </c>
      <c r="T18" s="85">
        <f t="shared" si="2"/>
        <v>0</v>
      </c>
      <c r="U18" s="85">
        <f t="shared" si="2"/>
        <v>0</v>
      </c>
      <c r="V18" s="85">
        <f t="shared" si="2"/>
        <v>0</v>
      </c>
      <c r="W18" s="85">
        <f t="shared" si="2"/>
        <v>0</v>
      </c>
      <c r="X18" s="85">
        <f t="shared" si="2"/>
        <v>0</v>
      </c>
      <c r="Y18" s="85">
        <f t="shared" si="2"/>
        <v>1</v>
      </c>
      <c r="Z18" s="85">
        <f t="shared" si="2"/>
        <v>0</v>
      </c>
      <c r="AA18" s="86">
        <f>SUM(F18:Z18)</f>
        <v>24</v>
      </c>
      <c r="AB18" s="87">
        <f>SUM(AB13:AB17)</f>
        <v>83</v>
      </c>
      <c r="AC18" s="87">
        <f t="shared" ref="AC18:AG18" si="3">SUM(AC13:AC17)</f>
        <v>42</v>
      </c>
      <c r="AD18" s="87">
        <f t="shared" si="3"/>
        <v>6</v>
      </c>
      <c r="AE18" s="87">
        <f t="shared" si="3"/>
        <v>6</v>
      </c>
      <c r="AF18" s="87">
        <f t="shared" si="3"/>
        <v>2</v>
      </c>
      <c r="AG18" s="87">
        <f t="shared" si="3"/>
        <v>11</v>
      </c>
    </row>
    <row r="19" spans="2:34" s="2" customFormat="1" ht="43.5" customHeight="1" x14ac:dyDescent="0.25">
      <c r="B19" s="30" t="s">
        <v>50</v>
      </c>
      <c r="C19" s="27" t="s">
        <v>33</v>
      </c>
      <c r="D19" s="27" t="s">
        <v>182</v>
      </c>
      <c r="E19" s="27" t="s">
        <v>52</v>
      </c>
      <c r="F19" s="28">
        <v>0</v>
      </c>
      <c r="G19" s="31">
        <v>1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B19" s="32">
        <v>0</v>
      </c>
      <c r="AC19" s="32">
        <v>0</v>
      </c>
      <c r="AD19" s="32">
        <v>0</v>
      </c>
      <c r="AE19" s="32">
        <v>0</v>
      </c>
      <c r="AF19" s="32">
        <v>0</v>
      </c>
      <c r="AG19" s="32">
        <v>0</v>
      </c>
    </row>
    <row r="20" spans="2:34" s="2" customFormat="1" ht="48" customHeight="1" x14ac:dyDescent="0.25">
      <c r="B20" s="29" t="s">
        <v>50</v>
      </c>
      <c r="C20" s="27" t="s">
        <v>195</v>
      </c>
      <c r="D20" s="27" t="s">
        <v>182</v>
      </c>
      <c r="E20" s="27" t="s">
        <v>52</v>
      </c>
      <c r="F20" s="28">
        <v>0</v>
      </c>
      <c r="G20" s="31">
        <v>4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31">
        <v>1</v>
      </c>
      <c r="R20" s="28">
        <v>0</v>
      </c>
      <c r="S20" s="28">
        <v>0</v>
      </c>
      <c r="T20" s="28">
        <v>0</v>
      </c>
      <c r="U20" s="28">
        <v>0</v>
      </c>
      <c r="V20" s="31">
        <v>1</v>
      </c>
      <c r="W20" s="28">
        <v>0</v>
      </c>
      <c r="X20" s="28">
        <v>0</v>
      </c>
      <c r="Y20" s="28">
        <v>0</v>
      </c>
      <c r="Z20" s="28">
        <v>0</v>
      </c>
      <c r="AB20" s="35">
        <v>18</v>
      </c>
      <c r="AC20" s="32">
        <v>0</v>
      </c>
      <c r="AD20" s="35">
        <v>2</v>
      </c>
      <c r="AE20" s="35">
        <v>2</v>
      </c>
      <c r="AF20" s="35">
        <v>1</v>
      </c>
      <c r="AG20" s="32">
        <v>0</v>
      </c>
    </row>
    <row r="21" spans="2:34" s="2" customFormat="1" ht="48" customHeight="1" x14ac:dyDescent="0.25">
      <c r="B21" s="29" t="s">
        <v>50</v>
      </c>
      <c r="C21" s="27" t="s">
        <v>195</v>
      </c>
      <c r="D21" s="27" t="s">
        <v>183</v>
      </c>
      <c r="E21" s="27" t="s">
        <v>121</v>
      </c>
      <c r="F21" s="28">
        <v>0</v>
      </c>
      <c r="G21" s="31">
        <v>1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B21" s="35">
        <v>8</v>
      </c>
      <c r="AC21" s="32">
        <v>0</v>
      </c>
      <c r="AD21" s="35">
        <v>1</v>
      </c>
      <c r="AE21" s="35">
        <v>1</v>
      </c>
      <c r="AF21" s="35">
        <v>1</v>
      </c>
      <c r="AG21" s="35">
        <v>1</v>
      </c>
    </row>
    <row r="22" spans="2:34" s="2" customFormat="1" ht="48" customHeight="1" x14ac:dyDescent="0.25">
      <c r="B22" s="29" t="s">
        <v>50</v>
      </c>
      <c r="C22" s="27" t="s">
        <v>195</v>
      </c>
      <c r="D22" s="27" t="s">
        <v>153</v>
      </c>
      <c r="E22" s="27" t="s">
        <v>123</v>
      </c>
      <c r="F22" s="28">
        <v>0</v>
      </c>
      <c r="G22" s="31">
        <v>1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B22" s="35">
        <v>8</v>
      </c>
      <c r="AC22" s="32">
        <v>0</v>
      </c>
      <c r="AD22" s="35">
        <v>1</v>
      </c>
      <c r="AE22" s="35">
        <v>1</v>
      </c>
      <c r="AF22" s="35">
        <v>1</v>
      </c>
      <c r="AG22" s="35">
        <v>1</v>
      </c>
    </row>
    <row r="23" spans="2:34" s="2" customFormat="1" ht="43.5" customHeight="1" x14ac:dyDescent="0.25">
      <c r="B23" s="30" t="s">
        <v>50</v>
      </c>
      <c r="C23" s="27" t="s">
        <v>51</v>
      </c>
      <c r="D23" s="27" t="s">
        <v>53</v>
      </c>
      <c r="E23" s="27" t="s">
        <v>52</v>
      </c>
      <c r="F23" s="28">
        <v>0</v>
      </c>
      <c r="G23" s="31">
        <v>3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/>
      <c r="N23" s="28">
        <v>0</v>
      </c>
      <c r="O23" s="28">
        <v>0</v>
      </c>
      <c r="P23" s="28">
        <v>0</v>
      </c>
      <c r="Q23" s="31">
        <v>1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B23" s="35">
        <v>22</v>
      </c>
      <c r="AC23" s="32">
        <v>0</v>
      </c>
      <c r="AD23" s="35">
        <v>2</v>
      </c>
      <c r="AE23" s="35">
        <v>2</v>
      </c>
      <c r="AF23" s="35">
        <v>1</v>
      </c>
      <c r="AG23" s="32">
        <v>0</v>
      </c>
    </row>
    <row r="24" spans="2:34" s="2" customFormat="1" ht="48" customHeight="1" x14ac:dyDescent="0.25">
      <c r="B24" s="29" t="s">
        <v>50</v>
      </c>
      <c r="C24" s="27" t="s">
        <v>54</v>
      </c>
      <c r="D24" s="27" t="s">
        <v>154</v>
      </c>
      <c r="E24" s="27" t="s">
        <v>121</v>
      </c>
      <c r="F24" s="28">
        <v>0</v>
      </c>
      <c r="G24" s="31">
        <v>3</v>
      </c>
      <c r="H24" s="28">
        <v>0</v>
      </c>
      <c r="I24" s="28">
        <v>0</v>
      </c>
      <c r="J24" s="28">
        <v>0</v>
      </c>
      <c r="K24" s="28">
        <v>0</v>
      </c>
      <c r="L24" s="31">
        <v>1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B24" s="35">
        <v>12</v>
      </c>
      <c r="AC24" s="32">
        <v>0</v>
      </c>
      <c r="AD24" s="35">
        <v>1</v>
      </c>
      <c r="AE24" s="35">
        <v>1</v>
      </c>
      <c r="AF24" s="32">
        <v>0</v>
      </c>
      <c r="AG24" s="32">
        <v>0</v>
      </c>
    </row>
    <row r="25" spans="2:34" s="2" customFormat="1" ht="48" customHeight="1" x14ac:dyDescent="0.25">
      <c r="B25" s="29" t="s">
        <v>50</v>
      </c>
      <c r="C25" s="27" t="s">
        <v>54</v>
      </c>
      <c r="D25" s="27" t="s">
        <v>147</v>
      </c>
      <c r="E25" s="27" t="s">
        <v>121</v>
      </c>
      <c r="F25" s="28">
        <v>0</v>
      </c>
      <c r="G25" s="31">
        <v>2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31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31">
        <v>1</v>
      </c>
      <c r="W25" s="28">
        <v>0</v>
      </c>
      <c r="X25" s="28">
        <v>0</v>
      </c>
      <c r="Y25" s="28">
        <v>0</v>
      </c>
      <c r="Z25" s="28">
        <v>0</v>
      </c>
      <c r="AB25" s="32">
        <v>0</v>
      </c>
      <c r="AC25" s="32">
        <v>0</v>
      </c>
      <c r="AD25" s="32">
        <v>0</v>
      </c>
      <c r="AE25" s="32">
        <v>0</v>
      </c>
      <c r="AF25" s="32">
        <v>0</v>
      </c>
      <c r="AG25" s="32">
        <v>0</v>
      </c>
    </row>
    <row r="26" spans="2:34" s="2" customFormat="1" ht="48" customHeight="1" x14ac:dyDescent="0.25">
      <c r="B26" s="29" t="s">
        <v>50</v>
      </c>
      <c r="C26" s="27" t="s">
        <v>54</v>
      </c>
      <c r="D26" s="27" t="s">
        <v>148</v>
      </c>
      <c r="E26" s="27" t="s">
        <v>124</v>
      </c>
      <c r="F26" s="28">
        <v>0</v>
      </c>
      <c r="G26" s="31">
        <v>1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B26" s="35">
        <v>6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</row>
    <row r="27" spans="2:34" s="2" customFormat="1" ht="49.5" customHeight="1" x14ac:dyDescent="0.25">
      <c r="B27" s="30" t="s">
        <v>50</v>
      </c>
      <c r="C27" s="27" t="s">
        <v>55</v>
      </c>
      <c r="D27" s="27" t="s">
        <v>184</v>
      </c>
      <c r="E27" s="27" t="s">
        <v>56</v>
      </c>
      <c r="F27" s="28">
        <v>0</v>
      </c>
      <c r="G27" s="31">
        <v>2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B27" s="35">
        <v>14</v>
      </c>
      <c r="AC27" s="32">
        <v>0</v>
      </c>
      <c r="AD27" s="35">
        <v>1</v>
      </c>
      <c r="AE27" s="35">
        <v>1</v>
      </c>
      <c r="AF27" s="32">
        <v>0</v>
      </c>
      <c r="AG27" s="35">
        <v>1</v>
      </c>
    </row>
    <row r="28" spans="2:34" s="2" customFormat="1" ht="49.5" customHeight="1" x14ac:dyDescent="0.25">
      <c r="B28" s="30" t="s">
        <v>50</v>
      </c>
      <c r="C28" s="27" t="s">
        <v>55</v>
      </c>
      <c r="D28" s="27" t="s">
        <v>185</v>
      </c>
      <c r="E28" s="27" t="s">
        <v>56</v>
      </c>
      <c r="F28" s="28">
        <v>0</v>
      </c>
      <c r="G28" s="31">
        <v>2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B28" s="35">
        <v>6</v>
      </c>
      <c r="AC28" s="35">
        <v>2</v>
      </c>
      <c r="AD28" s="35">
        <v>1</v>
      </c>
      <c r="AE28" s="35">
        <v>1</v>
      </c>
      <c r="AF28" s="32">
        <v>0</v>
      </c>
      <c r="AG28" s="35">
        <v>1</v>
      </c>
    </row>
    <row r="29" spans="2:34" s="2" customFormat="1" ht="49.5" customHeight="1" x14ac:dyDescent="0.25">
      <c r="B29" s="30" t="s">
        <v>50</v>
      </c>
      <c r="C29" s="27" t="s">
        <v>55</v>
      </c>
      <c r="D29" s="27" t="s">
        <v>186</v>
      </c>
      <c r="E29" s="27" t="s">
        <v>56</v>
      </c>
      <c r="F29" s="28">
        <v>0</v>
      </c>
      <c r="G29" s="31">
        <v>1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B29" s="35">
        <v>6</v>
      </c>
      <c r="AC29" s="35">
        <v>2</v>
      </c>
      <c r="AD29" s="35">
        <v>1</v>
      </c>
      <c r="AE29" s="35">
        <v>1</v>
      </c>
      <c r="AF29" s="32">
        <v>0</v>
      </c>
      <c r="AG29" s="35">
        <v>1</v>
      </c>
    </row>
    <row r="30" spans="2:34" s="2" customFormat="1" ht="49.5" customHeight="1" x14ac:dyDescent="0.25">
      <c r="B30" s="30" t="s">
        <v>50</v>
      </c>
      <c r="C30" s="27" t="s">
        <v>55</v>
      </c>
      <c r="D30" s="27" t="s">
        <v>171</v>
      </c>
      <c r="E30" s="27" t="s">
        <v>56</v>
      </c>
      <c r="F30" s="28">
        <v>0</v>
      </c>
      <c r="G30" s="31">
        <v>1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58">
        <f>(AA32/30)*6</f>
        <v>79927638.57853955</v>
      </c>
      <c r="AB30" s="35">
        <v>4</v>
      </c>
      <c r="AC30" s="35">
        <v>2</v>
      </c>
      <c r="AD30" s="32">
        <v>0</v>
      </c>
      <c r="AE30" s="32">
        <v>0</v>
      </c>
      <c r="AF30" s="32">
        <v>0</v>
      </c>
      <c r="AG30" s="32">
        <v>0</v>
      </c>
      <c r="AH30" s="32"/>
    </row>
    <row r="31" spans="2:34" s="2" customFormat="1" ht="49.5" customHeight="1" x14ac:dyDescent="0.25">
      <c r="B31" s="30" t="s">
        <v>50</v>
      </c>
      <c r="C31" s="27" t="s">
        <v>57</v>
      </c>
      <c r="D31" s="27" t="s">
        <v>187</v>
      </c>
      <c r="E31" s="27" t="s">
        <v>125</v>
      </c>
      <c r="F31" s="28">
        <v>0</v>
      </c>
      <c r="G31" s="31">
        <v>1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58"/>
      <c r="AB31" s="35">
        <v>6</v>
      </c>
      <c r="AC31" s="32">
        <v>0</v>
      </c>
      <c r="AD31" s="35">
        <v>1</v>
      </c>
      <c r="AE31" s="35">
        <v>1</v>
      </c>
      <c r="AF31" s="32">
        <v>0</v>
      </c>
      <c r="AG31" s="35">
        <v>1</v>
      </c>
    </row>
    <row r="32" spans="2:34" s="2" customFormat="1" ht="49.5" customHeight="1" x14ac:dyDescent="0.25">
      <c r="B32" s="30" t="s">
        <v>50</v>
      </c>
      <c r="C32" s="27" t="s">
        <v>57</v>
      </c>
      <c r="D32" s="27" t="s">
        <v>149</v>
      </c>
      <c r="E32" s="27" t="s">
        <v>126</v>
      </c>
      <c r="F32" s="28">
        <v>0</v>
      </c>
      <c r="G32" s="31">
        <v>1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58">
        <f>+(G33*G97)+(L33*L97)+(O33*O97)+(Q33*Q97)+(V33*V97)</f>
        <v>399638192.89269769</v>
      </c>
      <c r="AB32" s="35">
        <v>6</v>
      </c>
      <c r="AC32" s="32">
        <v>0</v>
      </c>
      <c r="AD32" s="35">
        <v>1</v>
      </c>
      <c r="AE32" s="35">
        <v>1</v>
      </c>
      <c r="AF32" s="32">
        <v>0</v>
      </c>
      <c r="AG32" s="35">
        <v>1</v>
      </c>
    </row>
    <row r="33" spans="2:33" s="53" customFormat="1" ht="19.5" customHeight="1" x14ac:dyDescent="0.25">
      <c r="B33" s="165" t="s">
        <v>58</v>
      </c>
      <c r="C33" s="165"/>
      <c r="D33" s="165"/>
      <c r="E33" s="165"/>
      <c r="F33" s="85">
        <f t="shared" ref="F33:Z33" si="4">SUM(F19:F32)</f>
        <v>0</v>
      </c>
      <c r="G33" s="85">
        <f t="shared" si="4"/>
        <v>24</v>
      </c>
      <c r="H33" s="85">
        <f t="shared" si="4"/>
        <v>0</v>
      </c>
      <c r="I33" s="85">
        <f t="shared" si="4"/>
        <v>0</v>
      </c>
      <c r="J33" s="85">
        <f t="shared" si="4"/>
        <v>0</v>
      </c>
      <c r="K33" s="85">
        <f t="shared" si="4"/>
        <v>0</v>
      </c>
      <c r="L33" s="85">
        <f t="shared" si="4"/>
        <v>1</v>
      </c>
      <c r="M33" s="85">
        <f t="shared" si="4"/>
        <v>0</v>
      </c>
      <c r="N33" s="85">
        <f t="shared" si="4"/>
        <v>0</v>
      </c>
      <c r="O33" s="85">
        <f t="shared" si="4"/>
        <v>0</v>
      </c>
      <c r="P33" s="85">
        <f t="shared" si="4"/>
        <v>0</v>
      </c>
      <c r="Q33" s="85">
        <f t="shared" si="4"/>
        <v>2</v>
      </c>
      <c r="R33" s="85">
        <f t="shared" si="4"/>
        <v>0</v>
      </c>
      <c r="S33" s="85">
        <f t="shared" si="4"/>
        <v>0</v>
      </c>
      <c r="T33" s="85">
        <f t="shared" si="4"/>
        <v>0</v>
      </c>
      <c r="U33" s="85">
        <f t="shared" si="4"/>
        <v>0</v>
      </c>
      <c r="V33" s="85">
        <f t="shared" si="4"/>
        <v>2</v>
      </c>
      <c r="W33" s="85">
        <f t="shared" si="4"/>
        <v>0</v>
      </c>
      <c r="X33" s="85">
        <f t="shared" si="4"/>
        <v>0</v>
      </c>
      <c r="Y33" s="85">
        <f t="shared" si="4"/>
        <v>0</v>
      </c>
      <c r="Z33" s="85">
        <f t="shared" si="4"/>
        <v>0</v>
      </c>
      <c r="AA33" s="86">
        <f>SUM(F33:Z33)</f>
        <v>29</v>
      </c>
      <c r="AB33" s="87">
        <f t="shared" ref="AB33:AG33" si="5">SUM(AB19:AB32)</f>
        <v>116</v>
      </c>
      <c r="AC33" s="87">
        <f t="shared" si="5"/>
        <v>6</v>
      </c>
      <c r="AD33" s="87">
        <f t="shared" si="5"/>
        <v>12</v>
      </c>
      <c r="AE33" s="87">
        <f t="shared" si="5"/>
        <v>12</v>
      </c>
      <c r="AF33" s="87">
        <f t="shared" si="5"/>
        <v>4</v>
      </c>
      <c r="AG33" s="87">
        <f t="shared" si="5"/>
        <v>7</v>
      </c>
    </row>
    <row r="34" spans="2:33" s="2" customFormat="1" ht="48" customHeight="1" x14ac:dyDescent="0.25">
      <c r="B34" s="29" t="s">
        <v>59</v>
      </c>
      <c r="C34" s="27" t="s">
        <v>43</v>
      </c>
      <c r="D34" s="27" t="s">
        <v>60</v>
      </c>
      <c r="E34" s="27" t="s">
        <v>61</v>
      </c>
      <c r="F34" s="28">
        <v>0</v>
      </c>
      <c r="G34" s="31">
        <v>0</v>
      </c>
      <c r="H34" s="31">
        <v>1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B34" s="32">
        <v>0</v>
      </c>
      <c r="AC34" s="32">
        <v>0</v>
      </c>
      <c r="AD34" s="32">
        <v>0</v>
      </c>
      <c r="AE34" s="32">
        <v>0</v>
      </c>
      <c r="AF34" s="32">
        <v>0</v>
      </c>
      <c r="AG34" s="32">
        <v>0</v>
      </c>
    </row>
    <row r="35" spans="2:33" s="2" customFormat="1" ht="48" customHeight="1" x14ac:dyDescent="0.25">
      <c r="B35" s="29" t="s">
        <v>59</v>
      </c>
      <c r="C35" s="27" t="s">
        <v>43</v>
      </c>
      <c r="D35" s="27" t="s">
        <v>62</v>
      </c>
      <c r="E35" s="27" t="s">
        <v>61</v>
      </c>
      <c r="F35" s="28">
        <v>0</v>
      </c>
      <c r="G35" s="31">
        <v>1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31">
        <v>1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31">
        <v>1</v>
      </c>
      <c r="Z35" s="28">
        <v>0</v>
      </c>
      <c r="AB35" s="32">
        <v>0</v>
      </c>
      <c r="AC35" s="32">
        <v>0</v>
      </c>
      <c r="AD35" s="32">
        <v>0</v>
      </c>
      <c r="AE35" s="32">
        <v>0</v>
      </c>
      <c r="AF35" s="32">
        <v>0</v>
      </c>
      <c r="AG35" s="32">
        <v>0</v>
      </c>
    </row>
    <row r="36" spans="2:33" s="2" customFormat="1" ht="48" customHeight="1" x14ac:dyDescent="0.25">
      <c r="B36" s="29" t="s">
        <v>59</v>
      </c>
      <c r="C36" s="27" t="s">
        <v>43</v>
      </c>
      <c r="D36" s="27" t="s">
        <v>63</v>
      </c>
      <c r="E36" s="27" t="s">
        <v>61</v>
      </c>
      <c r="F36" s="28">
        <v>0</v>
      </c>
      <c r="G36" s="31">
        <v>2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B36" s="35">
        <v>25</v>
      </c>
      <c r="AC36" s="35">
        <v>2</v>
      </c>
      <c r="AD36" s="35">
        <v>3</v>
      </c>
      <c r="AE36" s="35">
        <v>1</v>
      </c>
      <c r="AF36" s="32">
        <v>0</v>
      </c>
      <c r="AG36" s="32">
        <v>0</v>
      </c>
    </row>
    <row r="37" spans="2:33" s="2" customFormat="1" ht="48" customHeight="1" x14ac:dyDescent="0.25">
      <c r="B37" s="29" t="s">
        <v>59</v>
      </c>
      <c r="C37" s="27" t="s">
        <v>43</v>
      </c>
      <c r="D37" s="27" t="s">
        <v>64</v>
      </c>
      <c r="E37" s="27" t="s">
        <v>61</v>
      </c>
      <c r="F37" s="28">
        <v>0</v>
      </c>
      <c r="G37" s="31">
        <v>1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B37" s="35">
        <v>10</v>
      </c>
      <c r="AC37" s="35">
        <v>2</v>
      </c>
      <c r="AD37" s="32">
        <v>0</v>
      </c>
      <c r="AE37" s="32">
        <v>0</v>
      </c>
      <c r="AF37" s="32">
        <v>0</v>
      </c>
      <c r="AG37" s="32">
        <v>0</v>
      </c>
    </row>
    <row r="38" spans="2:33" s="2" customFormat="1" ht="48" customHeight="1" x14ac:dyDescent="0.25">
      <c r="B38" s="29" t="s">
        <v>59</v>
      </c>
      <c r="C38" s="27" t="s">
        <v>43</v>
      </c>
      <c r="D38" s="27" t="s">
        <v>65</v>
      </c>
      <c r="E38" s="27" t="s">
        <v>61</v>
      </c>
      <c r="F38" s="28"/>
      <c r="G38" s="31">
        <v>1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B38" s="32">
        <v>0</v>
      </c>
      <c r="AC38" s="32">
        <v>0</v>
      </c>
      <c r="AD38" s="32">
        <v>0</v>
      </c>
      <c r="AE38" s="32">
        <v>0</v>
      </c>
      <c r="AF38" s="32">
        <v>0</v>
      </c>
      <c r="AG38" s="32">
        <v>0</v>
      </c>
    </row>
    <row r="39" spans="2:33" s="2" customFormat="1" ht="49.5" customHeight="1" x14ac:dyDescent="0.25">
      <c r="B39" s="29" t="s">
        <v>59</v>
      </c>
      <c r="C39" s="27" t="s">
        <v>66</v>
      </c>
      <c r="D39" s="27" t="s">
        <v>67</v>
      </c>
      <c r="E39" s="27" t="s">
        <v>61</v>
      </c>
      <c r="F39" s="28">
        <v>0</v>
      </c>
      <c r="G39" s="31">
        <v>3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31">
        <v>1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B39" s="35">
        <v>13</v>
      </c>
      <c r="AC39" s="35">
        <v>1</v>
      </c>
      <c r="AD39" s="32">
        <v>0</v>
      </c>
      <c r="AE39" s="32">
        <v>0</v>
      </c>
      <c r="AF39" s="32">
        <v>0</v>
      </c>
      <c r="AG39" s="35">
        <v>2</v>
      </c>
    </row>
    <row r="40" spans="2:33" s="2" customFormat="1" ht="49.5" customHeight="1" x14ac:dyDescent="0.25">
      <c r="B40" s="29" t="s">
        <v>59</v>
      </c>
      <c r="C40" s="27" t="s">
        <v>66</v>
      </c>
      <c r="D40" s="27" t="s">
        <v>68</v>
      </c>
      <c r="E40" s="27" t="s">
        <v>61</v>
      </c>
      <c r="F40" s="28">
        <v>0</v>
      </c>
      <c r="G40" s="31">
        <v>2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31">
        <v>1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B40" s="35">
        <v>11</v>
      </c>
      <c r="AC40" s="32">
        <v>0</v>
      </c>
      <c r="AD40" s="32">
        <v>0</v>
      </c>
      <c r="AE40" s="32">
        <v>0</v>
      </c>
      <c r="AF40" s="32">
        <v>0</v>
      </c>
      <c r="AG40" s="35">
        <v>3</v>
      </c>
    </row>
    <row r="41" spans="2:33" s="2" customFormat="1" ht="49.5" customHeight="1" x14ac:dyDescent="0.25">
      <c r="B41" s="29" t="s">
        <v>59</v>
      </c>
      <c r="C41" s="27" t="s">
        <v>66</v>
      </c>
      <c r="D41" s="27" t="s">
        <v>69</v>
      </c>
      <c r="E41" s="27" t="s">
        <v>61</v>
      </c>
      <c r="F41" s="28">
        <v>0</v>
      </c>
      <c r="G41" s="31">
        <v>2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B41" s="35">
        <v>9</v>
      </c>
      <c r="AC41" s="35">
        <v>1</v>
      </c>
      <c r="AD41" s="35">
        <v>1</v>
      </c>
      <c r="AE41" s="35">
        <v>1</v>
      </c>
      <c r="AF41" s="32">
        <v>0</v>
      </c>
      <c r="AG41" s="35">
        <v>4</v>
      </c>
    </row>
    <row r="42" spans="2:33" s="2" customFormat="1" ht="49.5" customHeight="1" x14ac:dyDescent="0.25">
      <c r="B42" s="29" t="s">
        <v>59</v>
      </c>
      <c r="C42" s="27" t="s">
        <v>66</v>
      </c>
      <c r="D42" s="27" t="s">
        <v>188</v>
      </c>
      <c r="E42" s="27" t="s">
        <v>61</v>
      </c>
      <c r="F42" s="28">
        <v>0</v>
      </c>
      <c r="G42" s="31">
        <v>3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B42" s="35">
        <v>11</v>
      </c>
      <c r="AC42" s="35">
        <v>1</v>
      </c>
      <c r="AD42" s="35">
        <v>1</v>
      </c>
      <c r="AE42" s="35">
        <v>1</v>
      </c>
      <c r="AF42" s="32">
        <v>0</v>
      </c>
      <c r="AG42" s="35">
        <v>3</v>
      </c>
    </row>
    <row r="43" spans="2:33" s="2" customFormat="1" ht="49.5" customHeight="1" x14ac:dyDescent="0.25">
      <c r="B43" s="29" t="s">
        <v>59</v>
      </c>
      <c r="C43" s="27" t="s">
        <v>66</v>
      </c>
      <c r="D43" s="27" t="s">
        <v>189</v>
      </c>
      <c r="E43" s="27" t="s">
        <v>70</v>
      </c>
      <c r="F43" s="28">
        <v>0</v>
      </c>
      <c r="G43" s="31">
        <v>2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B43" s="35">
        <v>13</v>
      </c>
      <c r="AC43" s="35">
        <v>1</v>
      </c>
      <c r="AD43" s="35">
        <v>1</v>
      </c>
      <c r="AE43" s="35">
        <v>1</v>
      </c>
      <c r="AF43" s="32">
        <v>0</v>
      </c>
      <c r="AG43" s="35">
        <v>2</v>
      </c>
    </row>
    <row r="44" spans="2:33" s="2" customFormat="1" ht="49.5" customHeight="1" x14ac:dyDescent="0.25">
      <c r="B44" s="29" t="s">
        <v>59</v>
      </c>
      <c r="C44" s="27" t="s">
        <v>66</v>
      </c>
      <c r="D44" s="27" t="s">
        <v>190</v>
      </c>
      <c r="E44" s="27" t="s">
        <v>71</v>
      </c>
      <c r="F44" s="28">
        <v>0</v>
      </c>
      <c r="G44" s="31">
        <v>1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B44" s="35">
        <v>8</v>
      </c>
      <c r="AC44" s="35">
        <v>1</v>
      </c>
      <c r="AD44" s="35">
        <v>1</v>
      </c>
      <c r="AE44" s="35">
        <v>1</v>
      </c>
      <c r="AF44" s="32">
        <v>0</v>
      </c>
      <c r="AG44" s="35">
        <v>1</v>
      </c>
    </row>
    <row r="45" spans="2:33" s="2" customFormat="1" ht="49.5" customHeight="1" x14ac:dyDescent="0.25">
      <c r="B45" s="29" t="s">
        <v>59</v>
      </c>
      <c r="C45" s="27" t="s">
        <v>66</v>
      </c>
      <c r="D45" s="27" t="s">
        <v>72</v>
      </c>
      <c r="E45" s="27" t="s">
        <v>73</v>
      </c>
      <c r="F45" s="28">
        <v>0</v>
      </c>
      <c r="G45" s="31">
        <v>1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</row>
    <row r="46" spans="2:33" s="2" customFormat="1" ht="43.5" customHeight="1" x14ac:dyDescent="0.25">
      <c r="B46" s="29" t="s">
        <v>59</v>
      </c>
      <c r="C46" s="27" t="s">
        <v>155</v>
      </c>
      <c r="D46" s="27" t="s">
        <v>191</v>
      </c>
      <c r="E46" s="27" t="s">
        <v>71</v>
      </c>
      <c r="F46" s="28">
        <v>0</v>
      </c>
      <c r="G46" s="31">
        <v>2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58">
        <f>(AA48/30)*6</f>
        <v>95559797.4301956</v>
      </c>
      <c r="AB46" s="35">
        <v>8</v>
      </c>
      <c r="AC46" s="35">
        <v>1</v>
      </c>
      <c r="AD46" s="35">
        <v>1</v>
      </c>
      <c r="AE46" s="35">
        <v>1</v>
      </c>
      <c r="AF46" s="32">
        <v>0</v>
      </c>
      <c r="AG46" s="35">
        <v>3</v>
      </c>
    </row>
    <row r="47" spans="2:33" s="2" customFormat="1" ht="43.5" customHeight="1" x14ac:dyDescent="0.25">
      <c r="B47" s="29" t="s">
        <v>59</v>
      </c>
      <c r="C47" s="27" t="s">
        <v>155</v>
      </c>
      <c r="D47" s="27" t="s">
        <v>172</v>
      </c>
      <c r="E47" s="27" t="s">
        <v>61</v>
      </c>
      <c r="F47" s="28">
        <v>0</v>
      </c>
      <c r="G47" s="31">
        <v>3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32">
        <v>0</v>
      </c>
    </row>
    <row r="48" spans="2:33" s="2" customFormat="1" ht="43.5" customHeight="1" x14ac:dyDescent="0.25">
      <c r="B48" s="29" t="s">
        <v>59</v>
      </c>
      <c r="C48" s="27" t="s">
        <v>155</v>
      </c>
      <c r="D48" s="27" t="s">
        <v>173</v>
      </c>
      <c r="E48" s="27" t="s">
        <v>127</v>
      </c>
      <c r="F48" s="28">
        <v>0</v>
      </c>
      <c r="G48" s="31">
        <v>5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58">
        <f>+(G49*G97)+(H49*H97)+(P49*P97)+(Q49*Q97)+(Y49*Y97)</f>
        <v>477798987.15097797</v>
      </c>
      <c r="AB48" s="32">
        <v>0</v>
      </c>
      <c r="AC48" s="32">
        <v>0</v>
      </c>
      <c r="AD48" s="32">
        <v>0</v>
      </c>
      <c r="AE48" s="32">
        <v>0</v>
      </c>
      <c r="AF48" s="32">
        <v>0</v>
      </c>
      <c r="AG48" s="32">
        <v>0</v>
      </c>
    </row>
    <row r="49" spans="2:33" s="53" customFormat="1" ht="19.5" customHeight="1" x14ac:dyDescent="0.25">
      <c r="B49" s="164" t="s">
        <v>74</v>
      </c>
      <c r="C49" s="164"/>
      <c r="D49" s="164"/>
      <c r="E49" s="164"/>
      <c r="F49" s="98">
        <f t="shared" ref="F49:Z49" si="6">SUM(F34:F48)</f>
        <v>0</v>
      </c>
      <c r="G49" s="98">
        <f t="shared" si="6"/>
        <v>29</v>
      </c>
      <c r="H49" s="98">
        <f t="shared" si="6"/>
        <v>1</v>
      </c>
      <c r="I49" s="98">
        <f t="shared" si="6"/>
        <v>0</v>
      </c>
      <c r="J49" s="98">
        <f t="shared" si="6"/>
        <v>0</v>
      </c>
      <c r="K49" s="98">
        <f t="shared" si="6"/>
        <v>0</v>
      </c>
      <c r="L49" s="98">
        <f t="shared" si="6"/>
        <v>0</v>
      </c>
      <c r="M49" s="98">
        <f t="shared" si="6"/>
        <v>0</v>
      </c>
      <c r="N49" s="98">
        <f t="shared" si="6"/>
        <v>0</v>
      </c>
      <c r="O49" s="98">
        <f t="shared" si="6"/>
        <v>0</v>
      </c>
      <c r="P49" s="98">
        <f t="shared" si="6"/>
        <v>1</v>
      </c>
      <c r="Q49" s="98">
        <f t="shared" si="6"/>
        <v>2</v>
      </c>
      <c r="R49" s="98">
        <f t="shared" si="6"/>
        <v>0</v>
      </c>
      <c r="S49" s="98">
        <f t="shared" si="6"/>
        <v>0</v>
      </c>
      <c r="T49" s="98">
        <f t="shared" si="6"/>
        <v>0</v>
      </c>
      <c r="U49" s="98">
        <f t="shared" si="6"/>
        <v>0</v>
      </c>
      <c r="V49" s="98">
        <f t="shared" si="6"/>
        <v>0</v>
      </c>
      <c r="W49" s="98">
        <f t="shared" si="6"/>
        <v>0</v>
      </c>
      <c r="X49" s="98">
        <f t="shared" si="6"/>
        <v>0</v>
      </c>
      <c r="Y49" s="98">
        <f t="shared" si="6"/>
        <v>1</v>
      </c>
      <c r="Z49" s="98">
        <f t="shared" si="6"/>
        <v>0</v>
      </c>
      <c r="AA49" s="86">
        <f>SUM(F49:Z49)</f>
        <v>34</v>
      </c>
      <c r="AB49" s="87">
        <f>SUM(AB34:AB48)</f>
        <v>108</v>
      </c>
      <c r="AC49" s="87">
        <f t="shared" ref="AC49:AG49" si="7">SUM(AC34:AC48)</f>
        <v>10</v>
      </c>
      <c r="AD49" s="87">
        <f t="shared" si="7"/>
        <v>8</v>
      </c>
      <c r="AE49" s="87">
        <f t="shared" si="7"/>
        <v>6</v>
      </c>
      <c r="AF49" s="87">
        <f t="shared" si="7"/>
        <v>0</v>
      </c>
      <c r="AG49" s="87">
        <f t="shared" si="7"/>
        <v>18</v>
      </c>
    </row>
    <row r="50" spans="2:33" s="2" customFormat="1" ht="49.5" customHeight="1" x14ac:dyDescent="0.25">
      <c r="B50" s="29" t="s">
        <v>75</v>
      </c>
      <c r="C50" s="27" t="s">
        <v>198</v>
      </c>
      <c r="D50" s="27" t="s">
        <v>196</v>
      </c>
      <c r="E50" s="27" t="s">
        <v>128</v>
      </c>
      <c r="F50" s="28">
        <v>0</v>
      </c>
      <c r="G50" s="31">
        <v>7</v>
      </c>
      <c r="H50" s="31">
        <v>1</v>
      </c>
      <c r="I50" s="28"/>
      <c r="J50" s="28"/>
      <c r="K50" s="28"/>
      <c r="L50" s="28">
        <v>0</v>
      </c>
      <c r="M50" s="28">
        <v>0</v>
      </c>
      <c r="N50" s="28">
        <v>0</v>
      </c>
      <c r="O50" s="28">
        <v>0</v>
      </c>
      <c r="P50" s="31">
        <v>1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B50" s="35">
        <v>45</v>
      </c>
      <c r="AC50" s="35">
        <v>2</v>
      </c>
      <c r="AD50" s="35">
        <v>2</v>
      </c>
      <c r="AE50" s="35">
        <v>2</v>
      </c>
      <c r="AF50" s="32">
        <v>0</v>
      </c>
      <c r="AG50" s="35">
        <v>1</v>
      </c>
    </row>
    <row r="51" spans="2:33" s="2" customFormat="1" ht="43.5" customHeight="1" x14ac:dyDescent="0.25">
      <c r="B51" s="29" t="s">
        <v>75</v>
      </c>
      <c r="C51" s="27" t="s">
        <v>198</v>
      </c>
      <c r="D51" s="27" t="s">
        <v>76</v>
      </c>
      <c r="E51" s="27" t="s">
        <v>128</v>
      </c>
      <c r="F51" s="28">
        <v>0</v>
      </c>
      <c r="G51" s="31">
        <v>1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31">
        <v>1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B51" s="35">
        <v>6</v>
      </c>
      <c r="AC51" s="35">
        <v>1</v>
      </c>
      <c r="AD51" s="35">
        <v>1</v>
      </c>
      <c r="AE51" s="35">
        <v>1</v>
      </c>
      <c r="AF51" s="32">
        <v>0</v>
      </c>
      <c r="AG51" s="35">
        <v>1</v>
      </c>
    </row>
    <row r="52" spans="2:33" s="2" customFormat="1" ht="43.5" customHeight="1" x14ac:dyDescent="0.25">
      <c r="B52" s="29" t="s">
        <v>75</v>
      </c>
      <c r="C52" s="27" t="s">
        <v>198</v>
      </c>
      <c r="D52" s="27" t="s">
        <v>156</v>
      </c>
      <c r="E52" s="27" t="s">
        <v>128</v>
      </c>
      <c r="F52" s="28">
        <v>0</v>
      </c>
      <c r="G52" s="31">
        <v>3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B52" s="35">
        <f>25</f>
        <v>25</v>
      </c>
      <c r="AC52" s="32">
        <v>0</v>
      </c>
      <c r="AD52" s="35">
        <f>2</f>
        <v>2</v>
      </c>
      <c r="AE52" s="35">
        <v>2</v>
      </c>
      <c r="AF52" s="32">
        <v>0</v>
      </c>
      <c r="AG52" s="35">
        <v>1</v>
      </c>
    </row>
    <row r="53" spans="2:33" s="2" customFormat="1" ht="49.5" customHeight="1" x14ac:dyDescent="0.25">
      <c r="B53" s="29" t="s">
        <v>75</v>
      </c>
      <c r="C53" s="27" t="s">
        <v>169</v>
      </c>
      <c r="D53" s="27" t="s">
        <v>157</v>
      </c>
      <c r="E53" s="27" t="s">
        <v>128</v>
      </c>
      <c r="F53" s="28">
        <v>0</v>
      </c>
      <c r="G53" s="31">
        <v>6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B53" s="35">
        <v>25</v>
      </c>
      <c r="AC53" s="35">
        <v>1</v>
      </c>
      <c r="AD53" s="35">
        <v>1</v>
      </c>
      <c r="AE53" s="35">
        <v>1</v>
      </c>
      <c r="AF53" s="32">
        <v>0</v>
      </c>
      <c r="AG53" s="35">
        <v>1</v>
      </c>
    </row>
    <row r="54" spans="2:33" s="2" customFormat="1" ht="43.5" customHeight="1" x14ac:dyDescent="0.25">
      <c r="B54" s="29" t="s">
        <v>75</v>
      </c>
      <c r="C54" s="27" t="s">
        <v>198</v>
      </c>
      <c r="D54" s="27" t="s">
        <v>170</v>
      </c>
      <c r="E54" s="27" t="s">
        <v>159</v>
      </c>
      <c r="F54" s="28">
        <v>0</v>
      </c>
      <c r="G54" s="31">
        <v>4</v>
      </c>
      <c r="H54" s="31">
        <v>1</v>
      </c>
      <c r="I54" s="28"/>
      <c r="J54" s="28"/>
      <c r="K54" s="28"/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58">
        <f>(AA56/30)*6</f>
        <v>97646458.239014462</v>
      </c>
      <c r="AB54" s="32">
        <v>0</v>
      </c>
      <c r="AC54" s="32">
        <v>0</v>
      </c>
      <c r="AD54" s="32">
        <v>0</v>
      </c>
      <c r="AE54" s="32">
        <v>0</v>
      </c>
      <c r="AF54" s="32">
        <v>0</v>
      </c>
      <c r="AG54" s="32">
        <v>0</v>
      </c>
    </row>
    <row r="55" spans="2:33" s="2" customFormat="1" ht="49.5" customHeight="1" x14ac:dyDescent="0.25">
      <c r="B55" s="29" t="s">
        <v>75</v>
      </c>
      <c r="C55" s="27" t="s">
        <v>169</v>
      </c>
      <c r="D55" s="27" t="s">
        <v>158</v>
      </c>
      <c r="E55" s="27" t="s">
        <v>129</v>
      </c>
      <c r="F55" s="28">
        <v>0</v>
      </c>
      <c r="G55" s="31">
        <v>7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B55" s="35">
        <v>15</v>
      </c>
      <c r="AC55" s="35">
        <v>1</v>
      </c>
      <c r="AD55" s="35">
        <v>1</v>
      </c>
      <c r="AE55" s="35">
        <v>1</v>
      </c>
      <c r="AF55" s="32">
        <v>0</v>
      </c>
      <c r="AG55" s="35">
        <v>1</v>
      </c>
    </row>
    <row r="56" spans="2:33" s="2" customFormat="1" ht="49.5" customHeight="1" x14ac:dyDescent="0.25">
      <c r="B56" s="29" t="s">
        <v>75</v>
      </c>
      <c r="C56" s="27" t="s">
        <v>169</v>
      </c>
      <c r="D56" s="27" t="s">
        <v>174</v>
      </c>
      <c r="E56" s="27" t="s">
        <v>129</v>
      </c>
      <c r="F56" s="28">
        <v>0</v>
      </c>
      <c r="G56" s="31">
        <v>1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31">
        <v>1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58">
        <f>+(G57*G97)+(H57*H97)+(P57*P97)</f>
        <v>488232291.19507229</v>
      </c>
      <c r="AB56" s="35">
        <v>5</v>
      </c>
      <c r="AC56" s="35">
        <v>0</v>
      </c>
      <c r="AD56" s="35">
        <v>1</v>
      </c>
      <c r="AE56" s="35">
        <v>1</v>
      </c>
      <c r="AF56" s="32">
        <v>0</v>
      </c>
      <c r="AG56" s="35">
        <v>1</v>
      </c>
    </row>
    <row r="57" spans="2:33" s="53" customFormat="1" ht="19.5" customHeight="1" x14ac:dyDescent="0.25">
      <c r="B57" s="165" t="s">
        <v>77</v>
      </c>
      <c r="C57" s="165"/>
      <c r="D57" s="165"/>
      <c r="E57" s="165"/>
      <c r="F57" s="85">
        <f>SUM(F50:F56)</f>
        <v>0</v>
      </c>
      <c r="G57" s="85">
        <f>SUM(G50:G56)</f>
        <v>29</v>
      </c>
      <c r="H57" s="85">
        <f t="shared" ref="H57:Z57" si="8">SUM(H50:H56)</f>
        <v>2</v>
      </c>
      <c r="I57" s="85">
        <f t="shared" si="8"/>
        <v>0</v>
      </c>
      <c r="J57" s="85">
        <f t="shared" si="8"/>
        <v>0</v>
      </c>
      <c r="K57" s="85">
        <f t="shared" si="8"/>
        <v>0</v>
      </c>
      <c r="L57" s="85">
        <f t="shared" si="8"/>
        <v>0</v>
      </c>
      <c r="M57" s="85">
        <f t="shared" si="8"/>
        <v>0</v>
      </c>
      <c r="N57" s="85">
        <f t="shared" si="8"/>
        <v>0</v>
      </c>
      <c r="O57" s="85">
        <f t="shared" si="8"/>
        <v>0</v>
      </c>
      <c r="P57" s="85">
        <f t="shared" si="8"/>
        <v>3</v>
      </c>
      <c r="Q57" s="85">
        <f t="shared" si="8"/>
        <v>0</v>
      </c>
      <c r="R57" s="85">
        <f t="shared" si="8"/>
        <v>0</v>
      </c>
      <c r="S57" s="85">
        <f t="shared" si="8"/>
        <v>0</v>
      </c>
      <c r="T57" s="85">
        <f t="shared" si="8"/>
        <v>0</v>
      </c>
      <c r="U57" s="85">
        <f t="shared" si="8"/>
        <v>0</v>
      </c>
      <c r="V57" s="85">
        <f t="shared" si="8"/>
        <v>0</v>
      </c>
      <c r="W57" s="85">
        <f t="shared" si="8"/>
        <v>0</v>
      </c>
      <c r="X57" s="85">
        <f t="shared" si="8"/>
        <v>0</v>
      </c>
      <c r="Y57" s="85">
        <f t="shared" si="8"/>
        <v>0</v>
      </c>
      <c r="Z57" s="85">
        <f t="shared" si="8"/>
        <v>0</v>
      </c>
      <c r="AA57" s="86">
        <f>SUM(F57:Z57)</f>
        <v>34</v>
      </c>
      <c r="AB57" s="88">
        <f>SUM(AB50:AB56)</f>
        <v>121</v>
      </c>
      <c r="AC57" s="88">
        <f t="shared" ref="AC57:AG57" si="9">SUM(AC50:AC56)</f>
        <v>5</v>
      </c>
      <c r="AD57" s="88">
        <f t="shared" si="9"/>
        <v>8</v>
      </c>
      <c r="AE57" s="88">
        <f t="shared" si="9"/>
        <v>8</v>
      </c>
      <c r="AF57" s="88">
        <f t="shared" si="9"/>
        <v>0</v>
      </c>
      <c r="AG57" s="88">
        <f t="shared" si="9"/>
        <v>6</v>
      </c>
    </row>
    <row r="58" spans="2:33" s="2" customFormat="1" ht="49.5" customHeight="1" x14ac:dyDescent="0.25">
      <c r="B58" s="29" t="s">
        <v>78</v>
      </c>
      <c r="C58" s="27" t="s">
        <v>33</v>
      </c>
      <c r="D58" s="27" t="s">
        <v>160</v>
      </c>
      <c r="E58" s="27" t="s">
        <v>119</v>
      </c>
      <c r="F58" s="28">
        <v>0</v>
      </c>
      <c r="G58" s="31">
        <v>5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B58" s="35">
        <v>26</v>
      </c>
      <c r="AC58" s="35">
        <v>3</v>
      </c>
      <c r="AD58" s="35">
        <v>1</v>
      </c>
      <c r="AE58" s="35">
        <v>1</v>
      </c>
      <c r="AF58" s="35">
        <v>1</v>
      </c>
      <c r="AG58" s="35">
        <v>2</v>
      </c>
    </row>
    <row r="59" spans="2:33" s="2" customFormat="1" ht="49.5" customHeight="1" x14ac:dyDescent="0.25">
      <c r="B59" s="29" t="s">
        <v>78</v>
      </c>
      <c r="C59" s="27" t="s">
        <v>43</v>
      </c>
      <c r="D59" s="27" t="s">
        <v>164</v>
      </c>
      <c r="E59" s="27" t="s">
        <v>119</v>
      </c>
      <c r="F59" s="28">
        <v>0</v>
      </c>
      <c r="G59" s="31">
        <v>1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B59" s="32">
        <v>0</v>
      </c>
      <c r="AC59" s="32">
        <v>0</v>
      </c>
      <c r="AD59" s="32">
        <v>0</v>
      </c>
      <c r="AE59" s="32">
        <v>0</v>
      </c>
      <c r="AF59" s="32">
        <v>0</v>
      </c>
      <c r="AG59" s="32">
        <v>0</v>
      </c>
    </row>
    <row r="60" spans="2:33" s="2" customFormat="1" ht="44.25" customHeight="1" x14ac:dyDescent="0.25">
      <c r="B60" s="30" t="s">
        <v>78</v>
      </c>
      <c r="C60" s="27" t="s">
        <v>79</v>
      </c>
      <c r="D60" s="27" t="s">
        <v>161</v>
      </c>
      <c r="E60" s="27" t="s">
        <v>119</v>
      </c>
      <c r="F60" s="28">
        <v>0</v>
      </c>
      <c r="G60" s="36">
        <v>1</v>
      </c>
      <c r="H60" s="31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B60" s="32">
        <v>0</v>
      </c>
      <c r="AC60" s="32">
        <v>0</v>
      </c>
      <c r="AD60" s="32">
        <v>0</v>
      </c>
      <c r="AE60" s="32">
        <v>0</v>
      </c>
      <c r="AF60" s="32">
        <v>0</v>
      </c>
      <c r="AG60" s="32">
        <v>0</v>
      </c>
    </row>
    <row r="61" spans="2:33" s="2" customFormat="1" ht="44.25" customHeight="1" x14ac:dyDescent="0.25">
      <c r="B61" s="30" t="s">
        <v>78</v>
      </c>
      <c r="C61" s="27" t="s">
        <v>79</v>
      </c>
      <c r="D61" s="27" t="s">
        <v>162</v>
      </c>
      <c r="E61" s="27" t="s">
        <v>119</v>
      </c>
      <c r="F61" s="28">
        <v>0</v>
      </c>
      <c r="G61" s="36">
        <v>3</v>
      </c>
      <c r="H61" s="31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B61" s="35">
        <v>16</v>
      </c>
      <c r="AC61" s="32">
        <v>0</v>
      </c>
      <c r="AD61" s="35">
        <v>1</v>
      </c>
      <c r="AE61" s="35">
        <v>1</v>
      </c>
      <c r="AF61" s="35">
        <v>1</v>
      </c>
      <c r="AG61" s="35">
        <v>1</v>
      </c>
    </row>
    <row r="62" spans="2:33" s="2" customFormat="1" ht="44.25" customHeight="1" x14ac:dyDescent="0.25">
      <c r="B62" s="30" t="s">
        <v>78</v>
      </c>
      <c r="C62" s="27" t="s">
        <v>79</v>
      </c>
      <c r="D62" s="27" t="s">
        <v>163</v>
      </c>
      <c r="E62" s="27" t="s">
        <v>119</v>
      </c>
      <c r="F62" s="28">
        <v>0</v>
      </c>
      <c r="G62" s="36">
        <v>1</v>
      </c>
      <c r="H62" s="31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B62" s="32">
        <v>0</v>
      </c>
      <c r="AC62" s="32">
        <v>0</v>
      </c>
      <c r="AD62" s="32">
        <v>0</v>
      </c>
      <c r="AE62" s="32">
        <v>0</v>
      </c>
      <c r="AF62" s="32">
        <v>0</v>
      </c>
      <c r="AG62" s="32">
        <v>0</v>
      </c>
    </row>
    <row r="63" spans="2:33" s="2" customFormat="1" ht="44.25" customHeight="1" x14ac:dyDescent="0.25">
      <c r="B63" s="30" t="s">
        <v>78</v>
      </c>
      <c r="C63" s="27" t="s">
        <v>79</v>
      </c>
      <c r="D63" s="27" t="s">
        <v>80</v>
      </c>
      <c r="E63" s="27" t="s">
        <v>119</v>
      </c>
      <c r="F63" s="28">
        <v>0</v>
      </c>
      <c r="G63" s="36">
        <v>2</v>
      </c>
      <c r="H63" s="31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B63" s="35">
        <v>23</v>
      </c>
      <c r="AC63" s="32">
        <v>0</v>
      </c>
      <c r="AD63" s="35">
        <v>1</v>
      </c>
      <c r="AE63" s="35">
        <v>1</v>
      </c>
      <c r="AF63" s="35">
        <v>1</v>
      </c>
      <c r="AG63" s="35">
        <v>1</v>
      </c>
    </row>
    <row r="64" spans="2:33" s="2" customFormat="1" ht="49.5" customHeight="1" x14ac:dyDescent="0.25">
      <c r="B64" s="29" t="s">
        <v>78</v>
      </c>
      <c r="C64" s="27" t="s">
        <v>81</v>
      </c>
      <c r="D64" s="27" t="s">
        <v>82</v>
      </c>
      <c r="E64" s="27" t="s">
        <v>130</v>
      </c>
      <c r="F64" s="28">
        <v>0</v>
      </c>
      <c r="G64" s="31">
        <v>4</v>
      </c>
      <c r="H64" s="28">
        <v>0</v>
      </c>
      <c r="I64" s="28">
        <v>0</v>
      </c>
      <c r="J64" s="28">
        <v>0</v>
      </c>
      <c r="K64" s="28">
        <v>0</v>
      </c>
      <c r="L64" s="31">
        <v>1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31">
        <v>1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B64" s="35">
        <v>28</v>
      </c>
      <c r="AC64" s="35">
        <v>4</v>
      </c>
      <c r="AD64" s="35">
        <v>2</v>
      </c>
      <c r="AE64" s="35">
        <v>2</v>
      </c>
      <c r="AF64" s="35">
        <v>2</v>
      </c>
      <c r="AG64" s="35">
        <v>5</v>
      </c>
    </row>
    <row r="65" spans="2:33" s="2" customFormat="1" ht="49.5" customHeight="1" x14ac:dyDescent="0.25">
      <c r="B65" s="29" t="s">
        <v>78</v>
      </c>
      <c r="C65" s="27" t="s">
        <v>83</v>
      </c>
      <c r="D65" s="27" t="s">
        <v>141</v>
      </c>
      <c r="E65" s="27" t="s">
        <v>131</v>
      </c>
      <c r="F65" s="31">
        <v>2</v>
      </c>
      <c r="G65" s="31">
        <v>3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B65" s="35">
        <v>19</v>
      </c>
      <c r="AC65" s="35">
        <v>4</v>
      </c>
      <c r="AD65" s="35">
        <v>2</v>
      </c>
      <c r="AE65" s="35">
        <v>2</v>
      </c>
      <c r="AF65" s="35">
        <v>2</v>
      </c>
      <c r="AG65" s="35">
        <v>5</v>
      </c>
    </row>
    <row r="66" spans="2:33" s="2" customFormat="1" ht="44.25" customHeight="1" x14ac:dyDescent="0.25">
      <c r="B66" s="30" t="s">
        <v>78</v>
      </c>
      <c r="C66" s="27" t="s">
        <v>84</v>
      </c>
      <c r="D66" s="27" t="s">
        <v>85</v>
      </c>
      <c r="E66" s="27" t="s">
        <v>132</v>
      </c>
      <c r="F66" s="36">
        <v>1</v>
      </c>
      <c r="G66" s="36">
        <v>5</v>
      </c>
      <c r="H66" s="31">
        <v>1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B66" s="35">
        <v>67</v>
      </c>
      <c r="AC66" s="35">
        <v>2</v>
      </c>
      <c r="AD66" s="35">
        <v>3</v>
      </c>
      <c r="AE66" s="35">
        <v>3</v>
      </c>
      <c r="AF66" s="35">
        <v>1</v>
      </c>
      <c r="AG66" s="35">
        <v>3</v>
      </c>
    </row>
    <row r="67" spans="2:33" s="2" customFormat="1" ht="44.25" customHeight="1" x14ac:dyDescent="0.25">
      <c r="B67" s="30" t="s">
        <v>78</v>
      </c>
      <c r="C67" s="27" t="s">
        <v>84</v>
      </c>
      <c r="D67" s="27" t="s">
        <v>140</v>
      </c>
      <c r="E67" s="27" t="s">
        <v>132</v>
      </c>
      <c r="F67" s="28">
        <v>0</v>
      </c>
      <c r="G67" s="36">
        <v>1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B67" s="35">
        <v>8</v>
      </c>
      <c r="AC67" s="35">
        <v>1</v>
      </c>
      <c r="AD67" s="35">
        <v>1</v>
      </c>
      <c r="AE67" s="35">
        <v>1</v>
      </c>
      <c r="AF67" s="32">
        <v>0</v>
      </c>
      <c r="AG67" s="32">
        <v>0</v>
      </c>
    </row>
    <row r="68" spans="2:33" s="2" customFormat="1" ht="44.25" customHeight="1" x14ac:dyDescent="0.25">
      <c r="B68" s="30" t="s">
        <v>78</v>
      </c>
      <c r="C68" s="27" t="s">
        <v>84</v>
      </c>
      <c r="D68" s="27" t="s">
        <v>86</v>
      </c>
      <c r="E68" s="27" t="s">
        <v>132</v>
      </c>
      <c r="F68" s="28">
        <v>0</v>
      </c>
      <c r="G68" s="36">
        <v>2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B68" s="32">
        <v>0</v>
      </c>
      <c r="AC68" s="32">
        <v>0</v>
      </c>
      <c r="AD68" s="32">
        <v>0</v>
      </c>
      <c r="AE68" s="32">
        <v>0</v>
      </c>
      <c r="AF68" s="32">
        <v>0</v>
      </c>
      <c r="AG68" s="32">
        <v>0</v>
      </c>
    </row>
    <row r="69" spans="2:33" s="2" customFormat="1" ht="49.5" customHeight="1" x14ac:dyDescent="0.25">
      <c r="B69" s="29" t="s">
        <v>78</v>
      </c>
      <c r="C69" s="27" t="s">
        <v>87</v>
      </c>
      <c r="D69" s="27" t="s">
        <v>165</v>
      </c>
      <c r="E69" s="27" t="s">
        <v>132</v>
      </c>
      <c r="F69" s="28">
        <v>0</v>
      </c>
      <c r="G69" s="31">
        <v>2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B69" s="35">
        <v>13</v>
      </c>
      <c r="AC69" s="35">
        <v>3</v>
      </c>
      <c r="AD69" s="35">
        <v>1</v>
      </c>
      <c r="AE69" s="35">
        <v>1</v>
      </c>
      <c r="AF69" s="32">
        <v>0</v>
      </c>
      <c r="AG69" s="32">
        <v>0</v>
      </c>
    </row>
    <row r="70" spans="2:33" s="2" customFormat="1" ht="49.5" customHeight="1" x14ac:dyDescent="0.25">
      <c r="B70" s="29" t="s">
        <v>78</v>
      </c>
      <c r="C70" s="27" t="s">
        <v>87</v>
      </c>
      <c r="D70" s="27" t="s">
        <v>142</v>
      </c>
      <c r="E70" s="27" t="s">
        <v>132</v>
      </c>
      <c r="F70" s="28">
        <v>0</v>
      </c>
      <c r="G70" s="31">
        <v>1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B70" s="32">
        <v>0</v>
      </c>
      <c r="AC70" s="32">
        <v>0</v>
      </c>
      <c r="AD70" s="32">
        <v>0</v>
      </c>
      <c r="AE70" s="32">
        <v>0</v>
      </c>
      <c r="AF70" s="32">
        <v>0</v>
      </c>
      <c r="AG70" s="32">
        <v>0</v>
      </c>
    </row>
    <row r="71" spans="2:33" s="2" customFormat="1" ht="49.5" customHeight="1" x14ac:dyDescent="0.25">
      <c r="B71" s="29" t="s">
        <v>78</v>
      </c>
      <c r="C71" s="27" t="s">
        <v>87</v>
      </c>
      <c r="D71" s="27" t="s">
        <v>88</v>
      </c>
      <c r="E71" s="27" t="s">
        <v>133</v>
      </c>
      <c r="F71" s="28">
        <v>0</v>
      </c>
      <c r="G71" s="31">
        <v>3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31">
        <v>1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B71" s="35">
        <v>28</v>
      </c>
      <c r="AC71" s="35">
        <v>4</v>
      </c>
      <c r="AD71" s="32">
        <v>0</v>
      </c>
      <c r="AE71" s="32">
        <v>0</v>
      </c>
      <c r="AF71" s="35">
        <v>1</v>
      </c>
      <c r="AG71" s="35">
        <v>1</v>
      </c>
    </row>
    <row r="72" spans="2:33" s="2" customFormat="1" ht="49.5" customHeight="1" x14ac:dyDescent="0.25">
      <c r="B72" s="29" t="s">
        <v>78</v>
      </c>
      <c r="C72" s="27" t="s">
        <v>87</v>
      </c>
      <c r="D72" s="27" t="s">
        <v>192</v>
      </c>
      <c r="E72" s="27" t="s">
        <v>119</v>
      </c>
      <c r="F72" s="28">
        <v>0</v>
      </c>
      <c r="G72" s="31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31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B72" s="32">
        <v>0</v>
      </c>
      <c r="AC72" s="32">
        <v>0</v>
      </c>
      <c r="AD72" s="32">
        <v>0</v>
      </c>
      <c r="AE72" s="32">
        <v>0</v>
      </c>
      <c r="AF72" s="32">
        <v>0</v>
      </c>
      <c r="AG72" s="32">
        <v>0</v>
      </c>
    </row>
    <row r="73" spans="2:33" s="2" customFormat="1" ht="37.5" customHeight="1" x14ac:dyDescent="0.25">
      <c r="B73" s="30" t="s">
        <v>78</v>
      </c>
      <c r="C73" s="27" t="s">
        <v>89</v>
      </c>
      <c r="D73" s="27" t="s">
        <v>175</v>
      </c>
      <c r="E73" s="27" t="s">
        <v>120</v>
      </c>
      <c r="F73" s="33">
        <v>0</v>
      </c>
      <c r="G73" s="37">
        <v>3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34">
        <v>0</v>
      </c>
      <c r="V73" s="34">
        <v>0</v>
      </c>
      <c r="W73" s="34">
        <v>0</v>
      </c>
      <c r="X73" s="28">
        <v>0</v>
      </c>
      <c r="Y73" s="28">
        <v>0</v>
      </c>
      <c r="Z73" s="28">
        <v>0</v>
      </c>
      <c r="AB73" s="35">
        <v>24</v>
      </c>
      <c r="AC73" s="35">
        <v>1</v>
      </c>
      <c r="AD73" s="35">
        <v>1</v>
      </c>
      <c r="AE73" s="35">
        <v>1</v>
      </c>
      <c r="AF73" s="32">
        <v>0</v>
      </c>
      <c r="AG73" s="35">
        <v>4</v>
      </c>
    </row>
    <row r="74" spans="2:33" s="2" customFormat="1" ht="37.5" customHeight="1" x14ac:dyDescent="0.25">
      <c r="B74" s="30" t="s">
        <v>78</v>
      </c>
      <c r="C74" s="27" t="s">
        <v>89</v>
      </c>
      <c r="D74" s="27" t="s">
        <v>176</v>
      </c>
      <c r="E74" s="27" t="s">
        <v>118</v>
      </c>
      <c r="F74" s="33">
        <v>0</v>
      </c>
      <c r="G74" s="37">
        <v>1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34">
        <v>0</v>
      </c>
      <c r="V74" s="34">
        <v>0</v>
      </c>
      <c r="W74" s="34">
        <v>0</v>
      </c>
      <c r="X74" s="28">
        <v>0</v>
      </c>
      <c r="Y74" s="28">
        <v>0</v>
      </c>
      <c r="Z74" s="28">
        <v>0</v>
      </c>
      <c r="AB74" s="35">
        <v>8</v>
      </c>
      <c r="AC74" s="32">
        <v>0</v>
      </c>
      <c r="AD74" s="35">
        <v>1</v>
      </c>
      <c r="AE74" s="35">
        <v>1</v>
      </c>
      <c r="AF74" s="32">
        <v>0</v>
      </c>
      <c r="AG74" s="35">
        <v>2</v>
      </c>
    </row>
    <row r="75" spans="2:33" s="2" customFormat="1" ht="49.5" customHeight="1" x14ac:dyDescent="0.25">
      <c r="B75" s="29" t="s">
        <v>78</v>
      </c>
      <c r="C75" s="27" t="s">
        <v>90</v>
      </c>
      <c r="D75" s="27" t="s">
        <v>177</v>
      </c>
      <c r="E75" s="27" t="s">
        <v>116</v>
      </c>
      <c r="F75" s="28">
        <v>0</v>
      </c>
      <c r="G75" s="31">
        <v>3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B75" s="35">
        <v>9</v>
      </c>
      <c r="AC75" s="35">
        <v>2</v>
      </c>
      <c r="AD75" s="35">
        <v>1</v>
      </c>
      <c r="AE75" s="35">
        <v>1</v>
      </c>
      <c r="AF75" s="35">
        <v>1</v>
      </c>
      <c r="AG75" s="35">
        <v>2</v>
      </c>
    </row>
    <row r="76" spans="2:33" s="2" customFormat="1" ht="49.5" customHeight="1" x14ac:dyDescent="0.25">
      <c r="B76" s="29" t="s">
        <v>78</v>
      </c>
      <c r="C76" s="27" t="s">
        <v>91</v>
      </c>
      <c r="D76" s="27" t="s">
        <v>166</v>
      </c>
      <c r="E76" s="27" t="s">
        <v>117</v>
      </c>
      <c r="F76" s="28">
        <v>0</v>
      </c>
      <c r="G76" s="31">
        <v>3</v>
      </c>
      <c r="H76" s="28">
        <v>0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B76" s="35">
        <v>11</v>
      </c>
      <c r="AC76" s="35">
        <v>2</v>
      </c>
      <c r="AD76" s="35">
        <v>1</v>
      </c>
      <c r="AE76" s="35">
        <v>1</v>
      </c>
      <c r="AF76" s="32">
        <v>0</v>
      </c>
      <c r="AG76" s="35">
        <v>6</v>
      </c>
    </row>
    <row r="77" spans="2:33" s="2" customFormat="1" ht="49.5" customHeight="1" x14ac:dyDescent="0.25">
      <c r="B77" s="29" t="s">
        <v>78</v>
      </c>
      <c r="C77" s="27" t="s">
        <v>91</v>
      </c>
      <c r="D77" s="27" t="s">
        <v>199</v>
      </c>
      <c r="E77" s="27" t="s">
        <v>116</v>
      </c>
      <c r="F77" s="28">
        <v>0</v>
      </c>
      <c r="G77" s="31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31">
        <v>1</v>
      </c>
      <c r="X77" s="28">
        <v>0</v>
      </c>
      <c r="Y77" s="28">
        <v>0</v>
      </c>
      <c r="Z77" s="28">
        <v>0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32">
        <v>0</v>
      </c>
    </row>
    <row r="78" spans="2:33" s="2" customFormat="1" ht="49.5" customHeight="1" x14ac:dyDescent="0.25">
      <c r="B78" s="29" t="s">
        <v>78</v>
      </c>
      <c r="C78" s="27" t="s">
        <v>91</v>
      </c>
      <c r="D78" s="27" t="s">
        <v>92</v>
      </c>
      <c r="E78" s="27" t="s">
        <v>134</v>
      </c>
      <c r="F78" s="28">
        <v>0</v>
      </c>
      <c r="G78" s="31">
        <v>1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B78" s="35">
        <v>5</v>
      </c>
      <c r="AC78" s="35">
        <v>2</v>
      </c>
      <c r="AD78" s="35">
        <v>1</v>
      </c>
      <c r="AE78" s="35">
        <v>1</v>
      </c>
      <c r="AF78" s="32">
        <v>0</v>
      </c>
      <c r="AG78" s="35">
        <v>1</v>
      </c>
    </row>
    <row r="79" spans="2:33" s="2" customFormat="1" ht="44.25" customHeight="1" x14ac:dyDescent="0.25">
      <c r="B79" s="30" t="s">
        <v>78</v>
      </c>
      <c r="C79" s="27" t="s">
        <v>93</v>
      </c>
      <c r="D79" s="27" t="s">
        <v>167</v>
      </c>
      <c r="E79" s="27" t="s">
        <v>135</v>
      </c>
      <c r="F79" s="28">
        <v>0</v>
      </c>
      <c r="G79" s="36">
        <v>3</v>
      </c>
      <c r="H79" s="31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B79" s="35">
        <v>19</v>
      </c>
      <c r="AC79" s="32">
        <v>0</v>
      </c>
      <c r="AD79" s="35">
        <v>1</v>
      </c>
      <c r="AE79" s="35">
        <v>1</v>
      </c>
      <c r="AF79" s="32">
        <v>0</v>
      </c>
      <c r="AG79" s="35">
        <v>2</v>
      </c>
    </row>
    <row r="80" spans="2:33" s="2" customFormat="1" ht="44.25" customHeight="1" x14ac:dyDescent="0.25">
      <c r="B80" s="30" t="s">
        <v>78</v>
      </c>
      <c r="C80" s="27" t="s">
        <v>93</v>
      </c>
      <c r="D80" s="27" t="s">
        <v>194</v>
      </c>
      <c r="E80" s="27" t="s">
        <v>136</v>
      </c>
      <c r="F80" s="28">
        <v>0</v>
      </c>
      <c r="G80" s="36">
        <v>2</v>
      </c>
      <c r="H80" s="31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B80" s="35">
        <v>16</v>
      </c>
      <c r="AC80" s="32">
        <v>0</v>
      </c>
      <c r="AD80" s="35">
        <v>1</v>
      </c>
      <c r="AE80" s="35">
        <v>1</v>
      </c>
      <c r="AF80" s="32">
        <v>0</v>
      </c>
      <c r="AG80" s="32">
        <v>0</v>
      </c>
    </row>
    <row r="81" spans="2:33" s="2" customFormat="1" ht="44.25" customHeight="1" x14ac:dyDescent="0.25">
      <c r="B81" s="30" t="s">
        <v>78</v>
      </c>
      <c r="C81" s="27" t="s">
        <v>93</v>
      </c>
      <c r="D81" s="27" t="s">
        <v>143</v>
      </c>
      <c r="E81" s="27" t="s">
        <v>122</v>
      </c>
      <c r="F81" s="28">
        <v>0</v>
      </c>
      <c r="G81" s="36">
        <v>3</v>
      </c>
      <c r="H81" s="31">
        <v>0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B81" s="35">
        <v>15</v>
      </c>
      <c r="AC81" s="32">
        <v>0</v>
      </c>
      <c r="AD81" s="35">
        <v>1</v>
      </c>
      <c r="AE81" s="35">
        <v>1</v>
      </c>
      <c r="AF81" s="32">
        <v>0</v>
      </c>
      <c r="AG81" s="35">
        <v>2</v>
      </c>
    </row>
    <row r="82" spans="2:33" s="2" customFormat="1" ht="44.25" customHeight="1" x14ac:dyDescent="0.25">
      <c r="B82" s="30" t="s">
        <v>78</v>
      </c>
      <c r="C82" s="27" t="s">
        <v>93</v>
      </c>
      <c r="D82" s="27" t="s">
        <v>94</v>
      </c>
      <c r="E82" s="27" t="s">
        <v>137</v>
      </c>
      <c r="F82" s="28">
        <v>0</v>
      </c>
      <c r="G82" s="36">
        <v>1</v>
      </c>
      <c r="H82" s="31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B82" s="35">
        <v>22</v>
      </c>
      <c r="AC82" s="35">
        <v>4</v>
      </c>
      <c r="AD82" s="35">
        <v>1</v>
      </c>
      <c r="AE82" s="35">
        <v>1</v>
      </c>
      <c r="AF82" s="32">
        <v>0</v>
      </c>
      <c r="AG82" s="35">
        <v>4</v>
      </c>
    </row>
    <row r="83" spans="2:33" s="2" customFormat="1" ht="49.5" customHeight="1" x14ac:dyDescent="0.25">
      <c r="B83" s="29" t="s">
        <v>78</v>
      </c>
      <c r="C83" s="27" t="s">
        <v>95</v>
      </c>
      <c r="D83" s="27" t="s">
        <v>193</v>
      </c>
      <c r="E83" s="27" t="s">
        <v>138</v>
      </c>
      <c r="F83" s="28">
        <v>0</v>
      </c>
      <c r="G83" s="31">
        <v>5</v>
      </c>
      <c r="H83" s="31">
        <v>1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B83" s="35">
        <v>8</v>
      </c>
      <c r="AC83" s="35">
        <v>2</v>
      </c>
      <c r="AD83" s="35">
        <v>1</v>
      </c>
      <c r="AE83" s="35">
        <v>1</v>
      </c>
      <c r="AF83" s="32">
        <v>0</v>
      </c>
      <c r="AG83" s="32">
        <v>0</v>
      </c>
    </row>
    <row r="84" spans="2:33" s="2" customFormat="1" ht="49.5" customHeight="1" x14ac:dyDescent="0.25">
      <c r="B84" s="29" t="s">
        <v>78</v>
      </c>
      <c r="C84" s="27" t="s">
        <v>95</v>
      </c>
      <c r="D84" s="27" t="s">
        <v>168</v>
      </c>
      <c r="E84" s="27" t="s">
        <v>138</v>
      </c>
      <c r="F84" s="28">
        <v>0</v>
      </c>
      <c r="G84" s="31">
        <v>1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58">
        <f>(AA85/30)*6</f>
        <v>210997208.57487157</v>
      </c>
      <c r="AB84" s="35">
        <v>12</v>
      </c>
      <c r="AC84" s="32">
        <v>0</v>
      </c>
      <c r="AD84" s="35">
        <v>1</v>
      </c>
      <c r="AE84" s="35">
        <v>1</v>
      </c>
      <c r="AF84" s="32">
        <v>0</v>
      </c>
      <c r="AG84" s="32">
        <v>0</v>
      </c>
    </row>
    <row r="85" spans="2:33" s="2" customFormat="1" ht="49.5" customHeight="1" x14ac:dyDescent="0.25">
      <c r="B85" s="29" t="s">
        <v>78</v>
      </c>
      <c r="C85" s="27" t="s">
        <v>95</v>
      </c>
      <c r="D85" s="27" t="s">
        <v>139</v>
      </c>
      <c r="E85" s="27" t="s">
        <v>197</v>
      </c>
      <c r="F85" s="28">
        <v>0</v>
      </c>
      <c r="G85" s="31">
        <v>2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58">
        <f>+(F86*F97)+(G86*G97)+(H86*H97)+(L86*L97)+(P86*P97)+(U86*U97)+(W86*W97)</f>
        <v>1054986042.8743578</v>
      </c>
      <c r="AB85" s="32">
        <v>0</v>
      </c>
      <c r="AC85" s="32">
        <v>0</v>
      </c>
      <c r="AD85" s="32">
        <v>0</v>
      </c>
      <c r="AE85" s="32">
        <v>0</v>
      </c>
      <c r="AF85" s="32">
        <v>0</v>
      </c>
      <c r="AG85" s="32">
        <v>0</v>
      </c>
    </row>
    <row r="86" spans="2:33" s="53" customFormat="1" ht="25.5" customHeight="1" x14ac:dyDescent="0.25">
      <c r="B86" s="165" t="s">
        <v>96</v>
      </c>
      <c r="C86" s="165"/>
      <c r="D86" s="165"/>
      <c r="E86" s="165"/>
      <c r="F86" s="85">
        <f t="shared" ref="F86:Z86" si="10">SUM(F58:F85)</f>
        <v>3</v>
      </c>
      <c r="G86" s="85">
        <f t="shared" si="10"/>
        <v>62</v>
      </c>
      <c r="H86" s="85">
        <f t="shared" si="10"/>
        <v>2</v>
      </c>
      <c r="I86" s="85">
        <f t="shared" si="10"/>
        <v>0</v>
      </c>
      <c r="J86" s="85">
        <f t="shared" si="10"/>
        <v>0</v>
      </c>
      <c r="K86" s="85">
        <f t="shared" si="10"/>
        <v>0</v>
      </c>
      <c r="L86" s="85">
        <f t="shared" si="10"/>
        <v>1</v>
      </c>
      <c r="M86" s="85">
        <f t="shared" si="10"/>
        <v>0</v>
      </c>
      <c r="N86" s="85">
        <f t="shared" si="10"/>
        <v>0</v>
      </c>
      <c r="O86" s="85">
        <f t="shared" si="10"/>
        <v>0</v>
      </c>
      <c r="P86" s="85">
        <f t="shared" si="10"/>
        <v>2</v>
      </c>
      <c r="Q86" s="85">
        <f t="shared" si="10"/>
        <v>0</v>
      </c>
      <c r="R86" s="85">
        <f t="shared" si="10"/>
        <v>0</v>
      </c>
      <c r="S86" s="85">
        <f t="shared" si="10"/>
        <v>0</v>
      </c>
      <c r="T86" s="85">
        <f t="shared" si="10"/>
        <v>0</v>
      </c>
      <c r="U86" s="85">
        <f t="shared" si="10"/>
        <v>1</v>
      </c>
      <c r="V86" s="85">
        <f t="shared" si="10"/>
        <v>0</v>
      </c>
      <c r="W86" s="85">
        <f t="shared" si="10"/>
        <v>1</v>
      </c>
      <c r="X86" s="85">
        <f t="shared" si="10"/>
        <v>0</v>
      </c>
      <c r="Y86" s="85">
        <f t="shared" si="10"/>
        <v>0</v>
      </c>
      <c r="Z86" s="85">
        <f t="shared" si="10"/>
        <v>0</v>
      </c>
      <c r="AA86" s="86">
        <f>SUM(F86:Z86)</f>
        <v>72</v>
      </c>
      <c r="AB86" s="89">
        <f t="shared" ref="AB86:AG86" si="11">SUM(AB58:AB85)</f>
        <v>377</v>
      </c>
      <c r="AC86" s="89">
        <f t="shared" si="11"/>
        <v>34</v>
      </c>
      <c r="AD86" s="89">
        <f t="shared" si="11"/>
        <v>23</v>
      </c>
      <c r="AE86" s="89">
        <f t="shared" si="11"/>
        <v>23</v>
      </c>
      <c r="AF86" s="89">
        <f t="shared" si="11"/>
        <v>10</v>
      </c>
      <c r="AG86" s="89">
        <f t="shared" si="11"/>
        <v>41</v>
      </c>
    </row>
    <row r="87" spans="2:33" s="54" customFormat="1" ht="6" customHeight="1" x14ac:dyDescent="0.25">
      <c r="B87" s="55"/>
      <c r="C87" s="55"/>
      <c r="D87" s="55"/>
      <c r="E87" s="55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7"/>
    </row>
    <row r="88" spans="2:33" s="4" customFormat="1" ht="35.25" customHeight="1" x14ac:dyDescent="0.25">
      <c r="B88" s="3"/>
      <c r="C88" s="3"/>
      <c r="D88" s="3"/>
      <c r="E88" s="90" t="s">
        <v>97</v>
      </c>
      <c r="F88" s="91">
        <f t="shared" ref="F88:Z88" si="12">+F12+F18+F33+F49+F57+F86</f>
        <v>9</v>
      </c>
      <c r="G88" s="91">
        <f t="shared" si="12"/>
        <v>174</v>
      </c>
      <c r="H88" s="91">
        <f t="shared" si="12"/>
        <v>7</v>
      </c>
      <c r="I88" s="91">
        <f t="shared" si="12"/>
        <v>0</v>
      </c>
      <c r="J88" s="91">
        <f t="shared" si="12"/>
        <v>0</v>
      </c>
      <c r="K88" s="91">
        <f t="shared" si="12"/>
        <v>0</v>
      </c>
      <c r="L88" s="91">
        <f t="shared" si="12"/>
        <v>2</v>
      </c>
      <c r="M88" s="91">
        <f t="shared" si="12"/>
        <v>1</v>
      </c>
      <c r="N88" s="91">
        <f t="shared" si="12"/>
        <v>0</v>
      </c>
      <c r="O88" s="91">
        <f t="shared" si="12"/>
        <v>0</v>
      </c>
      <c r="P88" s="91">
        <f t="shared" si="12"/>
        <v>7</v>
      </c>
      <c r="Q88" s="91">
        <f t="shared" si="12"/>
        <v>4</v>
      </c>
      <c r="R88" s="91">
        <f t="shared" si="12"/>
        <v>0</v>
      </c>
      <c r="S88" s="91">
        <f t="shared" si="12"/>
        <v>0</v>
      </c>
      <c r="T88" s="91">
        <f t="shared" si="12"/>
        <v>0</v>
      </c>
      <c r="U88" s="91">
        <f t="shared" si="12"/>
        <v>1</v>
      </c>
      <c r="V88" s="91">
        <f t="shared" si="12"/>
        <v>2</v>
      </c>
      <c r="W88" s="91">
        <f t="shared" si="12"/>
        <v>1</v>
      </c>
      <c r="X88" s="91">
        <f t="shared" si="12"/>
        <v>1</v>
      </c>
      <c r="Y88" s="91">
        <f t="shared" si="12"/>
        <v>2</v>
      </c>
      <c r="Z88" s="91">
        <f t="shared" si="12"/>
        <v>0</v>
      </c>
      <c r="AA88" s="51">
        <f>+AA12+AA18+AA33+AA49+AA57+AA86</f>
        <v>211</v>
      </c>
      <c r="AB88" s="92">
        <f t="shared" ref="AB88:AG88" si="13">+AB12+AB18+AB33+AB49+AB57+AB86</f>
        <v>888</v>
      </c>
      <c r="AC88" s="92">
        <f t="shared" si="13"/>
        <v>99</v>
      </c>
      <c r="AD88" s="92">
        <f t="shared" si="13"/>
        <v>63</v>
      </c>
      <c r="AE88" s="92">
        <f t="shared" si="13"/>
        <v>61</v>
      </c>
      <c r="AF88" s="92">
        <f t="shared" si="13"/>
        <v>17</v>
      </c>
      <c r="AG88" s="92">
        <f t="shared" si="13"/>
        <v>94</v>
      </c>
    </row>
    <row r="89" spans="2:33" s="4" customFormat="1" ht="20.25" customHeight="1" x14ac:dyDescent="0.25">
      <c r="B89" s="3"/>
      <c r="C89" s="5"/>
      <c r="D89" s="5"/>
      <c r="E89" s="65" t="s">
        <v>98</v>
      </c>
      <c r="F89" s="66">
        <v>3</v>
      </c>
      <c r="G89" s="66">
        <v>3</v>
      </c>
      <c r="H89" s="66">
        <v>3</v>
      </c>
      <c r="I89" s="66">
        <v>3</v>
      </c>
      <c r="J89" s="66">
        <v>3</v>
      </c>
      <c r="K89" s="66">
        <v>3</v>
      </c>
      <c r="L89" s="66">
        <v>2</v>
      </c>
      <c r="M89" s="66">
        <v>2</v>
      </c>
      <c r="N89" s="66">
        <v>2</v>
      </c>
      <c r="O89" s="66">
        <v>1.5</v>
      </c>
      <c r="P89" s="67">
        <v>1.5</v>
      </c>
      <c r="Q89" s="67">
        <v>1.5</v>
      </c>
      <c r="R89" s="66">
        <v>1.5</v>
      </c>
      <c r="S89" s="66">
        <v>1.5</v>
      </c>
      <c r="T89" s="66">
        <v>1.5</v>
      </c>
      <c r="U89" s="66">
        <v>1</v>
      </c>
      <c r="V89" s="66">
        <v>1</v>
      </c>
      <c r="W89" s="66">
        <v>1</v>
      </c>
      <c r="X89" s="66">
        <v>1</v>
      </c>
      <c r="Y89" s="66">
        <v>1</v>
      </c>
      <c r="Z89" s="66">
        <v>1</v>
      </c>
      <c r="AA89" s="52"/>
    </row>
    <row r="90" spans="2:33" s="4" customFormat="1" ht="20.25" customHeight="1" x14ac:dyDescent="0.25">
      <c r="B90" s="3"/>
      <c r="C90" s="5"/>
      <c r="D90" s="5"/>
      <c r="E90" s="65" t="s">
        <v>99</v>
      </c>
      <c r="F90" s="66">
        <f>F89*F88</f>
        <v>27</v>
      </c>
      <c r="G90" s="66">
        <f t="shared" ref="G90:Z90" si="14">G89*G88</f>
        <v>522</v>
      </c>
      <c r="H90" s="66">
        <f t="shared" si="14"/>
        <v>21</v>
      </c>
      <c r="I90" s="66">
        <f t="shared" si="14"/>
        <v>0</v>
      </c>
      <c r="J90" s="66">
        <f t="shared" si="14"/>
        <v>0</v>
      </c>
      <c r="K90" s="66">
        <f t="shared" si="14"/>
        <v>0</v>
      </c>
      <c r="L90" s="66">
        <f t="shared" si="14"/>
        <v>4</v>
      </c>
      <c r="M90" s="66">
        <f t="shared" si="14"/>
        <v>2</v>
      </c>
      <c r="N90" s="66">
        <f t="shared" si="14"/>
        <v>0</v>
      </c>
      <c r="O90" s="66">
        <f t="shared" si="14"/>
        <v>0</v>
      </c>
      <c r="P90" s="67">
        <f t="shared" si="14"/>
        <v>10.5</v>
      </c>
      <c r="Q90" s="67">
        <f t="shared" si="14"/>
        <v>6</v>
      </c>
      <c r="R90" s="67">
        <f t="shared" si="14"/>
        <v>0</v>
      </c>
      <c r="S90" s="67">
        <f t="shared" si="14"/>
        <v>0</v>
      </c>
      <c r="T90" s="67">
        <f t="shared" si="14"/>
        <v>0</v>
      </c>
      <c r="U90" s="66">
        <f t="shared" si="14"/>
        <v>1</v>
      </c>
      <c r="V90" s="66">
        <f t="shared" si="14"/>
        <v>2</v>
      </c>
      <c r="W90" s="66">
        <f t="shared" si="14"/>
        <v>1</v>
      </c>
      <c r="X90" s="66">
        <f t="shared" si="14"/>
        <v>1</v>
      </c>
      <c r="Y90" s="66">
        <f t="shared" si="14"/>
        <v>2</v>
      </c>
      <c r="Z90" s="66">
        <f t="shared" si="14"/>
        <v>0</v>
      </c>
      <c r="AA90" s="51"/>
    </row>
    <row r="91" spans="2:33" s="4" customFormat="1" ht="35.25" customHeight="1" x14ac:dyDescent="0.25">
      <c r="B91" s="3"/>
      <c r="C91" s="5"/>
      <c r="D91" s="5"/>
      <c r="E91" s="65" t="s">
        <v>100</v>
      </c>
      <c r="F91" s="68">
        <v>3000</v>
      </c>
      <c r="G91" s="68">
        <f>$F$91</f>
        <v>3000</v>
      </c>
      <c r="H91" s="68">
        <f t="shared" ref="H91:Z91" si="15">$F$91</f>
        <v>3000</v>
      </c>
      <c r="I91" s="68">
        <f t="shared" si="15"/>
        <v>3000</v>
      </c>
      <c r="J91" s="68">
        <f t="shared" si="15"/>
        <v>3000</v>
      </c>
      <c r="K91" s="68">
        <f t="shared" si="15"/>
        <v>3000</v>
      </c>
      <c r="L91" s="68">
        <f t="shared" si="15"/>
        <v>3000</v>
      </c>
      <c r="M91" s="68">
        <f t="shared" si="15"/>
        <v>3000</v>
      </c>
      <c r="N91" s="68">
        <f t="shared" si="15"/>
        <v>3000</v>
      </c>
      <c r="O91" s="68">
        <f t="shared" si="15"/>
        <v>3000</v>
      </c>
      <c r="P91" s="68">
        <f t="shared" si="15"/>
        <v>3000</v>
      </c>
      <c r="Q91" s="68">
        <f t="shared" si="15"/>
        <v>3000</v>
      </c>
      <c r="R91" s="68">
        <f t="shared" si="15"/>
        <v>3000</v>
      </c>
      <c r="S91" s="68">
        <f t="shared" si="15"/>
        <v>3000</v>
      </c>
      <c r="T91" s="68">
        <f t="shared" si="15"/>
        <v>3000</v>
      </c>
      <c r="U91" s="68">
        <f t="shared" si="15"/>
        <v>3000</v>
      </c>
      <c r="V91" s="68">
        <f t="shared" si="15"/>
        <v>3000</v>
      </c>
      <c r="W91" s="68">
        <f t="shared" si="15"/>
        <v>3000</v>
      </c>
      <c r="X91" s="68">
        <f t="shared" si="15"/>
        <v>3000</v>
      </c>
      <c r="Y91" s="68">
        <f>$F$91</f>
        <v>3000</v>
      </c>
      <c r="Z91" s="68">
        <f t="shared" si="15"/>
        <v>3000</v>
      </c>
      <c r="AA91" s="6"/>
    </row>
    <row r="92" spans="2:33" s="4" customFormat="1" ht="37.5" customHeight="1" x14ac:dyDescent="0.25">
      <c r="B92" s="3"/>
      <c r="C92" s="5"/>
      <c r="D92" s="5"/>
      <c r="E92" s="65" t="s">
        <v>101</v>
      </c>
      <c r="F92" s="68">
        <f>F91*F90</f>
        <v>81000</v>
      </c>
      <c r="G92" s="68">
        <f t="shared" ref="G92:Z92" si="16">G91*G90</f>
        <v>1566000</v>
      </c>
      <c r="H92" s="68">
        <f t="shared" si="16"/>
        <v>63000</v>
      </c>
      <c r="I92" s="68">
        <f t="shared" si="16"/>
        <v>0</v>
      </c>
      <c r="J92" s="68">
        <f t="shared" si="16"/>
        <v>0</v>
      </c>
      <c r="K92" s="68">
        <f t="shared" si="16"/>
        <v>0</v>
      </c>
      <c r="L92" s="68">
        <f t="shared" si="16"/>
        <v>12000</v>
      </c>
      <c r="M92" s="68">
        <f t="shared" si="16"/>
        <v>6000</v>
      </c>
      <c r="N92" s="68">
        <f t="shared" si="16"/>
        <v>0</v>
      </c>
      <c r="O92" s="68">
        <f t="shared" si="16"/>
        <v>0</v>
      </c>
      <c r="P92" s="68">
        <f t="shared" si="16"/>
        <v>31500</v>
      </c>
      <c r="Q92" s="68">
        <f t="shared" si="16"/>
        <v>18000</v>
      </c>
      <c r="R92" s="68">
        <f t="shared" si="16"/>
        <v>0</v>
      </c>
      <c r="S92" s="68">
        <f t="shared" si="16"/>
        <v>0</v>
      </c>
      <c r="T92" s="68">
        <f t="shared" si="16"/>
        <v>0</v>
      </c>
      <c r="U92" s="68">
        <f t="shared" si="16"/>
        <v>3000</v>
      </c>
      <c r="V92" s="68">
        <f t="shared" si="16"/>
        <v>6000</v>
      </c>
      <c r="W92" s="68">
        <f t="shared" si="16"/>
        <v>3000</v>
      </c>
      <c r="X92" s="68">
        <f t="shared" si="16"/>
        <v>3000</v>
      </c>
      <c r="Y92" s="68">
        <f t="shared" si="16"/>
        <v>6000</v>
      </c>
      <c r="Z92" s="68">
        <f t="shared" si="16"/>
        <v>0</v>
      </c>
      <c r="AA92" s="50"/>
    </row>
    <row r="93" spans="2:33" ht="12.75" x14ac:dyDescent="0.25"/>
    <row r="94" spans="2:33" ht="20.25" customHeight="1" x14ac:dyDescent="0.25">
      <c r="C94" s="12"/>
      <c r="D94" s="12"/>
      <c r="E94" s="47" t="s">
        <v>102</v>
      </c>
      <c r="F94" s="45">
        <f>((9.77*1423500)+(500*3))</f>
        <v>13909095</v>
      </c>
      <c r="G94" s="45">
        <f>(9.77*1423500+(500*3))</f>
        <v>13909095</v>
      </c>
      <c r="H94" s="45">
        <f>(9.77*1423500+(500*3))</f>
        <v>13909095</v>
      </c>
      <c r="I94" s="45">
        <f>(9.29*1423500+(500*3))</f>
        <v>13225814.999999998</v>
      </c>
      <c r="J94" s="45">
        <f>(9.29*1423500+(500*3))/30*20</f>
        <v>8817209.9999999981</v>
      </c>
      <c r="K94" s="45">
        <f>(9.29*1423500+(500*3))/30*24</f>
        <v>10580651.999999998</v>
      </c>
      <c r="L94" s="45">
        <f>(((9.77*1423500+(500*3))*55.97%)+((9.77*1423500+(500*3))*44.03%/9*1))</f>
        <v>8465384.3080000002</v>
      </c>
      <c r="M94" s="45">
        <f>(((9.77*1423500+(500*3))*55.97%)+((9.77*1423500+(500*3))*44.03%/9*1))/30*20</f>
        <v>5643589.5386666665</v>
      </c>
      <c r="N94" s="45">
        <f>(((9.29*1423500+(500*3))*55.97%)+((9.29*1423500+(500*3))*44.03%/9*1))/30*24</f>
        <v>6439619.9327999987</v>
      </c>
      <c r="O94" s="45">
        <f>((9.77*1423500+(500*3))*55.97%/15*12)</f>
        <v>6227936.3772</v>
      </c>
      <c r="P94" s="45">
        <f>((9.77*1423500+(500*3))*55.97%/15*12)/30*20</f>
        <v>4151957.5848000003</v>
      </c>
      <c r="Q94" s="45">
        <f>((9.77*1423500+(500*3))*55.97%/15*12)/30*24</f>
        <v>4982349.10176</v>
      </c>
      <c r="R94" s="45">
        <f>(((9.29*1423500+(500*3))*55.97%/15*3)+((9.29*1423500+(500*3))*44.03%/9*9))</f>
        <v>7303824.0755999992</v>
      </c>
      <c r="S94" s="45">
        <f>((((9.29*1423500+(500*3))*55.97%/15*3)+((9.29*1423500+(500*3))*44.03%/9*9))/30)*24</f>
        <v>5843059.2604799997</v>
      </c>
      <c r="T94" s="45">
        <f>(((9.29*1423500+(500*3))*55.97%/15*3)+((9.29*1423500+(500*3))*44.03%/9*9))</f>
        <v>7303824.0755999992</v>
      </c>
      <c r="U94" s="45">
        <f>((9.77*1423500+(500*3))*44.03%/9*8)</f>
        <v>5443710.6919999998</v>
      </c>
      <c r="V94" s="45">
        <f>((9.77*1423500+(500*3))*44.03%/9*8)</f>
        <v>5443710.6919999998</v>
      </c>
      <c r="W94" s="45">
        <f>(9.77*1423500+(500*3))*44.03%/9*8/30*20</f>
        <v>3629140.461333333</v>
      </c>
      <c r="X94" s="45">
        <f>(9.77*1423500+(500*3))*55.97%/15*8/30*24</f>
        <v>3321566.0678400001</v>
      </c>
      <c r="Y94" s="45">
        <f>(9.77*1423500+(500*3))*55.97%/15*8/30*20</f>
        <v>2767971.7231999999</v>
      </c>
      <c r="Z94" s="45">
        <f>((9.77*1423500+(500*3))*55.97%/15*8)</f>
        <v>4151957.5847999998</v>
      </c>
      <c r="AB94" s="45">
        <v>11227</v>
      </c>
      <c r="AC94" s="45">
        <v>43635</v>
      </c>
      <c r="AD94" s="45">
        <v>55898</v>
      </c>
      <c r="AE94" s="45">
        <v>40588</v>
      </c>
      <c r="AF94" s="45">
        <v>127990</v>
      </c>
      <c r="AG94" s="45">
        <v>43069</v>
      </c>
    </row>
    <row r="95" spans="2:33" ht="20.25" customHeight="1" x14ac:dyDescent="0.25">
      <c r="C95" s="12"/>
      <c r="D95" s="12"/>
      <c r="E95" s="47" t="s">
        <v>103</v>
      </c>
      <c r="F95" s="45">
        <f>+F94*0.1</f>
        <v>1390909.5</v>
      </c>
      <c r="G95" s="45">
        <f>+G94*0.08</f>
        <v>1112727.6000000001</v>
      </c>
      <c r="H95" s="45">
        <f t="shared" ref="H95:Z95" si="17">+H94*0.08</f>
        <v>1112727.6000000001</v>
      </c>
      <c r="I95" s="45">
        <f>+I94*0.11</f>
        <v>1454839.65</v>
      </c>
      <c r="J95" s="45">
        <f t="shared" si="17"/>
        <v>705376.79999999981</v>
      </c>
      <c r="K95" s="45">
        <f t="shared" si="17"/>
        <v>846452.15999999992</v>
      </c>
      <c r="L95" s="45">
        <f t="shared" si="17"/>
        <v>677230.74464000005</v>
      </c>
      <c r="M95" s="45">
        <f t="shared" si="17"/>
        <v>451487.16309333331</v>
      </c>
      <c r="N95" s="45">
        <f t="shared" si="17"/>
        <v>515169.5946239999</v>
      </c>
      <c r="O95" s="45">
        <f t="shared" si="17"/>
        <v>498234.91017600003</v>
      </c>
      <c r="P95" s="45">
        <f t="shared" si="17"/>
        <v>332156.606784</v>
      </c>
      <c r="Q95" s="45">
        <f t="shared" si="17"/>
        <v>398587.92814079998</v>
      </c>
      <c r="R95" s="45">
        <f t="shared" si="17"/>
        <v>584305.92604799999</v>
      </c>
      <c r="S95" s="45">
        <f t="shared" si="17"/>
        <v>467444.74083839997</v>
      </c>
      <c r="T95" s="45">
        <f>+T94*0.1</f>
        <v>730382.40755999996</v>
      </c>
      <c r="U95" s="45">
        <f>+U94*0.1</f>
        <v>544371.06920000003</v>
      </c>
      <c r="V95" s="45">
        <f t="shared" si="17"/>
        <v>435496.85535999999</v>
      </c>
      <c r="W95" s="45">
        <f t="shared" si="17"/>
        <v>290331.23690666666</v>
      </c>
      <c r="X95" s="45">
        <f t="shared" si="17"/>
        <v>265725.28542720003</v>
      </c>
      <c r="Y95" s="45">
        <f t="shared" si="17"/>
        <v>221437.73785599999</v>
      </c>
      <c r="Z95" s="45">
        <f t="shared" si="17"/>
        <v>332156.606784</v>
      </c>
      <c r="AB95" s="45">
        <v>0</v>
      </c>
      <c r="AC95" s="45">
        <v>0</v>
      </c>
      <c r="AD95" s="45">
        <v>0</v>
      </c>
      <c r="AE95" s="45">
        <v>0</v>
      </c>
      <c r="AF95" s="45">
        <v>0</v>
      </c>
      <c r="AG95" s="45">
        <v>0</v>
      </c>
    </row>
    <row r="96" spans="2:33" ht="20.25" customHeight="1" x14ac:dyDescent="0.25">
      <c r="C96" s="12"/>
      <c r="D96" s="12"/>
      <c r="E96" s="47" t="s">
        <v>104</v>
      </c>
      <c r="F96" s="45">
        <f>+(F94+F95)*0.019</f>
        <v>290700.08549999999</v>
      </c>
      <c r="G96" s="45">
        <f t="shared" ref="G96:Z96" si="18">+(G94+G95)*0.019</f>
        <v>285414.62939999998</v>
      </c>
      <c r="H96" s="45">
        <f t="shared" si="18"/>
        <v>285414.62939999998</v>
      </c>
      <c r="I96" s="45">
        <f t="shared" si="18"/>
        <v>278932.43834999995</v>
      </c>
      <c r="J96" s="45">
        <f t="shared" si="18"/>
        <v>180929.14919999993</v>
      </c>
      <c r="K96" s="45">
        <f t="shared" si="18"/>
        <v>217114.97903999998</v>
      </c>
      <c r="L96" s="45">
        <f t="shared" si="18"/>
        <v>173709.68600016</v>
      </c>
      <c r="M96" s="45">
        <f t="shared" si="18"/>
        <v>115806.45733343999</v>
      </c>
      <c r="N96" s="45">
        <f t="shared" si="18"/>
        <v>132141.00102105597</v>
      </c>
      <c r="O96" s="45">
        <f t="shared" si="18"/>
        <v>127797.25446014399</v>
      </c>
      <c r="P96" s="45">
        <f t="shared" si="18"/>
        <v>85198.169640096006</v>
      </c>
      <c r="Q96" s="45">
        <f t="shared" si="18"/>
        <v>102237.80356811521</v>
      </c>
      <c r="R96" s="45">
        <f t="shared" si="18"/>
        <v>149874.470031312</v>
      </c>
      <c r="S96" s="45">
        <f t="shared" si="18"/>
        <v>119899.5760250496</v>
      </c>
      <c r="T96" s="45">
        <f t="shared" si="18"/>
        <v>152649.92318003997</v>
      </c>
      <c r="U96" s="45">
        <f t="shared" si="18"/>
        <v>113773.55346279999</v>
      </c>
      <c r="V96" s="45">
        <f t="shared" si="18"/>
        <v>111704.94339984001</v>
      </c>
      <c r="W96" s="45">
        <f t="shared" si="18"/>
        <v>74469.962266559989</v>
      </c>
      <c r="X96" s="45">
        <f t="shared" si="18"/>
        <v>68158.535712076802</v>
      </c>
      <c r="Y96" s="45">
        <f t="shared" si="18"/>
        <v>56798.779760063997</v>
      </c>
      <c r="Z96" s="45">
        <f t="shared" si="18"/>
        <v>85198.169640095992</v>
      </c>
      <c r="AB96" s="45">
        <f>+AB94*0.19</f>
        <v>2133.13</v>
      </c>
      <c r="AC96" s="45">
        <f t="shared" ref="AC96:AG96" si="19">+AC94*0.19</f>
        <v>8290.65</v>
      </c>
      <c r="AD96" s="45">
        <f t="shared" si="19"/>
        <v>10620.62</v>
      </c>
      <c r="AE96" s="45">
        <f t="shared" si="19"/>
        <v>7711.72</v>
      </c>
      <c r="AF96" s="45">
        <f t="shared" si="19"/>
        <v>24318.1</v>
      </c>
      <c r="AG96" s="45">
        <f t="shared" si="19"/>
        <v>8183.11</v>
      </c>
    </row>
    <row r="97" spans="2:33" ht="20.25" customHeight="1" x14ac:dyDescent="0.25">
      <c r="C97" s="12"/>
      <c r="D97" s="12"/>
      <c r="E97" s="48" t="s">
        <v>105</v>
      </c>
      <c r="F97" s="49">
        <f>+F94+F95+F96</f>
        <v>15590704.5855</v>
      </c>
      <c r="G97" s="49">
        <f>+G94+G95+G96</f>
        <v>15307237.2294</v>
      </c>
      <c r="H97" s="49">
        <f t="shared" ref="H97:Z97" si="20">+H94+H95+H96</f>
        <v>15307237.2294</v>
      </c>
      <c r="I97" s="49">
        <f t="shared" si="20"/>
        <v>14959587.088349998</v>
      </c>
      <c r="J97" s="49">
        <f t="shared" si="20"/>
        <v>9703515.9491999969</v>
      </c>
      <c r="K97" s="49">
        <f t="shared" si="20"/>
        <v>11644219.139039999</v>
      </c>
      <c r="L97" s="49">
        <f>+L94+L95+L96</f>
        <v>9316324.7386401612</v>
      </c>
      <c r="M97" s="49">
        <f t="shared" si="20"/>
        <v>6210883.1590934396</v>
      </c>
      <c r="N97" s="49">
        <f t="shared" si="20"/>
        <v>7086930.5284450538</v>
      </c>
      <c r="O97" s="49">
        <f t="shared" si="20"/>
        <v>6853968.5418361435</v>
      </c>
      <c r="P97" s="49">
        <f t="shared" si="20"/>
        <v>4569312.3612240963</v>
      </c>
      <c r="Q97" s="49">
        <f t="shared" si="20"/>
        <v>5483174.8334689159</v>
      </c>
      <c r="R97" s="49">
        <f t="shared" si="20"/>
        <v>8038004.4716793112</v>
      </c>
      <c r="S97" s="49">
        <f t="shared" si="20"/>
        <v>6430403.577343449</v>
      </c>
      <c r="T97" s="49">
        <f t="shared" si="20"/>
        <v>8186856.4063400393</v>
      </c>
      <c r="U97" s="49">
        <f t="shared" si="20"/>
        <v>6101855.3146627992</v>
      </c>
      <c r="V97" s="49">
        <f t="shared" si="20"/>
        <v>5990912.4907598402</v>
      </c>
      <c r="W97" s="49">
        <f t="shared" si="20"/>
        <v>3993941.66050656</v>
      </c>
      <c r="X97" s="49">
        <f t="shared" si="20"/>
        <v>3655449.8889792771</v>
      </c>
      <c r="Y97" s="49">
        <f t="shared" si="20"/>
        <v>3046208.2408160642</v>
      </c>
      <c r="Z97" s="49">
        <f t="shared" si="20"/>
        <v>4569312.3612240953</v>
      </c>
      <c r="AB97" s="44">
        <f>+AB94+AB96</f>
        <v>13360.130000000001</v>
      </c>
      <c r="AC97" s="44">
        <f t="shared" ref="AC97:AG97" si="21">+AC94+AC96</f>
        <v>51925.65</v>
      </c>
      <c r="AD97" s="44">
        <f t="shared" si="21"/>
        <v>66518.62</v>
      </c>
      <c r="AE97" s="44">
        <f t="shared" si="21"/>
        <v>48299.72</v>
      </c>
      <c r="AF97" s="44">
        <f t="shared" si="21"/>
        <v>152308.1</v>
      </c>
      <c r="AG97" s="44">
        <f t="shared" si="21"/>
        <v>51252.11</v>
      </c>
    </row>
    <row r="98" spans="2:33" ht="12.75" x14ac:dyDescent="0.25"/>
    <row r="99" spans="2:33" ht="18" customHeight="1" x14ac:dyDescent="0.25">
      <c r="C99" s="12"/>
      <c r="D99" s="12"/>
      <c r="E99" s="74" t="s">
        <v>106</v>
      </c>
      <c r="F99" s="75">
        <f>(F88)*(F$94+F$95)</f>
        <v>137700040.5</v>
      </c>
      <c r="G99" s="75">
        <f>+(G88)*(G$94+G$95)</f>
        <v>2613797132.4000001</v>
      </c>
      <c r="H99" s="75">
        <f>+H88*(H$94+H$95)</f>
        <v>105152758.2</v>
      </c>
      <c r="I99" s="75">
        <f t="shared" ref="I99:Z99" si="22">+I88*(I$94+I$95)</f>
        <v>0</v>
      </c>
      <c r="J99" s="75">
        <f t="shared" si="22"/>
        <v>0</v>
      </c>
      <c r="K99" s="75">
        <f t="shared" si="22"/>
        <v>0</v>
      </c>
      <c r="L99" s="75">
        <f t="shared" si="22"/>
        <v>18285230.105280001</v>
      </c>
      <c r="M99" s="75">
        <f>+M88*(M$94+M$95)</f>
        <v>6095076.7017599996</v>
      </c>
      <c r="N99" s="75">
        <f t="shared" si="22"/>
        <v>0</v>
      </c>
      <c r="O99" s="75">
        <f t="shared" si="22"/>
        <v>0</v>
      </c>
      <c r="P99" s="75">
        <f t="shared" si="22"/>
        <v>31388799.341088004</v>
      </c>
      <c r="Q99" s="75">
        <f t="shared" si="22"/>
        <v>21523748.119603202</v>
      </c>
      <c r="R99" s="75">
        <f t="shared" si="22"/>
        <v>0</v>
      </c>
      <c r="S99" s="75">
        <f t="shared" si="22"/>
        <v>0</v>
      </c>
      <c r="T99" s="75">
        <f t="shared" si="22"/>
        <v>0</v>
      </c>
      <c r="U99" s="75">
        <f t="shared" si="22"/>
        <v>5988081.7611999996</v>
      </c>
      <c r="V99" s="75">
        <f t="shared" si="22"/>
        <v>11758415.09472</v>
      </c>
      <c r="W99" s="75">
        <f t="shared" si="22"/>
        <v>3919471.6982399998</v>
      </c>
      <c r="X99" s="75">
        <f t="shared" si="22"/>
        <v>3587291.3532672003</v>
      </c>
      <c r="Y99" s="75">
        <f t="shared" si="22"/>
        <v>5978818.9221120002</v>
      </c>
      <c r="Z99" s="75">
        <f t="shared" si="22"/>
        <v>0</v>
      </c>
      <c r="AA99" s="10"/>
      <c r="AB99" s="76">
        <f>+AB88*(AB94+AB95)</f>
        <v>9969576</v>
      </c>
      <c r="AC99" s="76">
        <f t="shared" ref="AC99:AG99" si="23">+AC88*(AC94+AC95)</f>
        <v>4319865</v>
      </c>
      <c r="AD99" s="76">
        <f t="shared" si="23"/>
        <v>3521574</v>
      </c>
      <c r="AE99" s="76">
        <f t="shared" si="23"/>
        <v>2475868</v>
      </c>
      <c r="AF99" s="76">
        <f t="shared" si="23"/>
        <v>2175830</v>
      </c>
      <c r="AG99" s="76">
        <f t="shared" si="23"/>
        <v>4048486</v>
      </c>
    </row>
    <row r="100" spans="2:33" s="12" customFormat="1" ht="18" customHeight="1" x14ac:dyDescent="0.25">
      <c r="E100" s="74" t="s">
        <v>107</v>
      </c>
      <c r="F100" s="75">
        <f>(F$96*F88)</f>
        <v>2616300.7694999999</v>
      </c>
      <c r="G100" s="75">
        <f>(G$96)*(G88)</f>
        <v>49662145.515599996</v>
      </c>
      <c r="H100" s="75">
        <f t="shared" ref="H100:Z100" si="24">(H$96*H88)</f>
        <v>1997902.4057999998</v>
      </c>
      <c r="I100" s="75">
        <f t="shared" si="24"/>
        <v>0</v>
      </c>
      <c r="J100" s="75">
        <f t="shared" si="24"/>
        <v>0</v>
      </c>
      <c r="K100" s="75">
        <f t="shared" si="24"/>
        <v>0</v>
      </c>
      <c r="L100" s="75">
        <f t="shared" si="24"/>
        <v>347419.37200032</v>
      </c>
      <c r="M100" s="75">
        <f t="shared" si="24"/>
        <v>115806.45733343999</v>
      </c>
      <c r="N100" s="75">
        <f t="shared" si="24"/>
        <v>0</v>
      </c>
      <c r="O100" s="75">
        <f t="shared" si="24"/>
        <v>0</v>
      </c>
      <c r="P100" s="75">
        <f t="shared" si="24"/>
        <v>596387.18748067203</v>
      </c>
      <c r="Q100" s="75">
        <f t="shared" si="24"/>
        <v>408951.21427246084</v>
      </c>
      <c r="R100" s="75">
        <f t="shared" si="24"/>
        <v>0</v>
      </c>
      <c r="S100" s="75">
        <f t="shared" si="24"/>
        <v>0</v>
      </c>
      <c r="T100" s="75">
        <f t="shared" si="24"/>
        <v>0</v>
      </c>
      <c r="U100" s="75">
        <f t="shared" si="24"/>
        <v>113773.55346279999</v>
      </c>
      <c r="V100" s="75">
        <f t="shared" si="24"/>
        <v>223409.88679968001</v>
      </c>
      <c r="W100" s="75">
        <f t="shared" si="24"/>
        <v>74469.962266559989</v>
      </c>
      <c r="X100" s="75">
        <f t="shared" si="24"/>
        <v>68158.535712076802</v>
      </c>
      <c r="Y100" s="75">
        <f t="shared" si="24"/>
        <v>113597.55952012799</v>
      </c>
      <c r="Z100" s="75">
        <f t="shared" si="24"/>
        <v>0</v>
      </c>
      <c r="AA100" s="11"/>
      <c r="AB100" s="76">
        <f t="shared" ref="AB100:AG100" si="25">+ROUND(((AB12+AB18+AB33+AB49+AB57+AB86)*AB96),0)</f>
        <v>1894219</v>
      </c>
      <c r="AC100" s="76">
        <f t="shared" si="25"/>
        <v>820774</v>
      </c>
      <c r="AD100" s="76">
        <f t="shared" si="25"/>
        <v>669099</v>
      </c>
      <c r="AE100" s="76">
        <f t="shared" si="25"/>
        <v>470415</v>
      </c>
      <c r="AF100" s="76">
        <f t="shared" si="25"/>
        <v>413408</v>
      </c>
      <c r="AG100" s="76">
        <f t="shared" si="25"/>
        <v>769212</v>
      </c>
    </row>
    <row r="101" spans="2:33" s="12" customFormat="1" ht="18" customHeight="1" x14ac:dyDescent="0.25">
      <c r="B101" s="46"/>
      <c r="C101" s="46"/>
      <c r="D101" s="46"/>
      <c r="E101" s="73" t="s">
        <v>200</v>
      </c>
      <c r="F101" s="78">
        <f>+F99+F100</f>
        <v>140316341.26949999</v>
      </c>
      <c r="G101" s="78">
        <f>+G99+G100</f>
        <v>2663459277.9156003</v>
      </c>
      <c r="H101" s="78">
        <f t="shared" ref="H101:Y101" si="26">+H99+H100</f>
        <v>107150660.6058</v>
      </c>
      <c r="I101" s="78">
        <f t="shared" si="26"/>
        <v>0</v>
      </c>
      <c r="J101" s="78">
        <f t="shared" si="26"/>
        <v>0</v>
      </c>
      <c r="K101" s="78">
        <f t="shared" si="26"/>
        <v>0</v>
      </c>
      <c r="L101" s="78">
        <f t="shared" si="26"/>
        <v>18632649.477280322</v>
      </c>
      <c r="M101" s="78">
        <f>+M99+M100</f>
        <v>6210883.1590934396</v>
      </c>
      <c r="N101" s="78">
        <f t="shared" si="26"/>
        <v>0</v>
      </c>
      <c r="O101" s="78">
        <f t="shared" si="26"/>
        <v>0</v>
      </c>
      <c r="P101" s="78">
        <f t="shared" si="26"/>
        <v>31985186.528568678</v>
      </c>
      <c r="Q101" s="78">
        <f t="shared" si="26"/>
        <v>21932699.333875664</v>
      </c>
      <c r="R101" s="78">
        <f t="shared" si="26"/>
        <v>0</v>
      </c>
      <c r="S101" s="78">
        <f t="shared" si="26"/>
        <v>0</v>
      </c>
      <c r="T101" s="78">
        <f t="shared" si="26"/>
        <v>0</v>
      </c>
      <c r="U101" s="78">
        <f t="shared" si="26"/>
        <v>6101855.3146627992</v>
      </c>
      <c r="V101" s="78">
        <f t="shared" si="26"/>
        <v>11981824.98151968</v>
      </c>
      <c r="W101" s="78">
        <f t="shared" si="26"/>
        <v>3993941.66050656</v>
      </c>
      <c r="X101" s="78">
        <f t="shared" si="26"/>
        <v>3655449.8889792771</v>
      </c>
      <c r="Y101" s="78">
        <f t="shared" si="26"/>
        <v>6092416.4816321284</v>
      </c>
      <c r="Z101" s="78">
        <f>+Z99+Z100</f>
        <v>0</v>
      </c>
      <c r="AA101" s="11"/>
      <c r="AB101" s="77">
        <f>+AB99+AB100</f>
        <v>11863795</v>
      </c>
      <c r="AC101" s="77">
        <f t="shared" ref="AC101:AG101" si="27">+AC99+AC100</f>
        <v>5140639</v>
      </c>
      <c r="AD101" s="77">
        <f t="shared" si="27"/>
        <v>4190673</v>
      </c>
      <c r="AE101" s="77">
        <f t="shared" si="27"/>
        <v>2946283</v>
      </c>
      <c r="AF101" s="77">
        <f t="shared" si="27"/>
        <v>2589238</v>
      </c>
      <c r="AG101" s="77">
        <f t="shared" si="27"/>
        <v>4817698</v>
      </c>
    </row>
    <row r="102" spans="2:33" ht="17.25" customHeight="1" x14ac:dyDescent="0.25">
      <c r="D102" s="13"/>
      <c r="E102" s="14"/>
      <c r="F102" s="15"/>
      <c r="G102" s="16"/>
      <c r="H102" s="16"/>
      <c r="I102" s="16"/>
      <c r="J102" s="16"/>
      <c r="K102" s="16"/>
      <c r="L102" s="16"/>
      <c r="M102" s="16"/>
      <c r="O102" s="17"/>
      <c r="W102" s="18"/>
      <c r="Y102" s="71"/>
      <c r="Z102" s="72"/>
      <c r="AA102" s="19"/>
      <c r="AB102" s="71"/>
      <c r="AC102" s="72"/>
    </row>
    <row r="103" spans="2:33" ht="31.5" x14ac:dyDescent="0.25">
      <c r="C103" s="79" t="s">
        <v>108</v>
      </c>
      <c r="D103" s="79" t="s">
        <v>109</v>
      </c>
    </row>
    <row r="104" spans="2:33" ht="22.5" customHeight="1" x14ac:dyDescent="0.25">
      <c r="C104" s="63">
        <f>+AA11+AA17+AA32+AA48+AA56+AA85</f>
        <v>3021513186.6170187</v>
      </c>
      <c r="D104" s="63">
        <f>SUM(AB101:AG101)</f>
        <v>31548326</v>
      </c>
    </row>
    <row r="105" spans="2:33" ht="27" customHeight="1" x14ac:dyDescent="0.25"/>
    <row r="106" spans="2:33" ht="25.5" x14ac:dyDescent="0.25">
      <c r="C106" s="80" t="s">
        <v>0</v>
      </c>
      <c r="D106" s="80" t="s">
        <v>110</v>
      </c>
      <c r="E106" s="80" t="s">
        <v>111</v>
      </c>
      <c r="F106" s="80" t="s">
        <v>203</v>
      </c>
      <c r="G106" s="80" t="s">
        <v>112</v>
      </c>
      <c r="K106" s="20"/>
      <c r="L106" s="20"/>
      <c r="Y106" s="7"/>
    </row>
    <row r="107" spans="2:33" ht="20.25" customHeight="1" x14ac:dyDescent="0.25">
      <c r="C107" s="59" t="s">
        <v>113</v>
      </c>
      <c r="D107" s="60">
        <f>(AA11/30)*6</f>
        <v>52775696.557755858</v>
      </c>
      <c r="E107" s="60">
        <f>+(((AB12*AB97)+(AC12*AC97)+(AD12*AD97)+(AE12*AE97)+(AF12*AF97)+(AG12*AG97)))/((30))*6</f>
        <v>523546.68800000008</v>
      </c>
      <c r="F107" s="61">
        <f>+E107*0.052</f>
        <v>27224.427776000004</v>
      </c>
      <c r="G107" s="60">
        <f t="shared" ref="G107:G113" si="28">SUM(D107:F107)</f>
        <v>53326467.67353186</v>
      </c>
      <c r="K107" s="21"/>
      <c r="L107" s="20"/>
      <c r="Y107" s="7"/>
    </row>
    <row r="108" spans="2:33" ht="20.25" customHeight="1" x14ac:dyDescent="0.25">
      <c r="C108" s="59" t="s">
        <v>42</v>
      </c>
      <c r="D108" s="60">
        <f>(AA17/30)*6</f>
        <v>67395837.943026721</v>
      </c>
      <c r="E108" s="60">
        <f>+(((AB18*AB97)+(AC18*AC97)+(AD18*AD97)+(AE18*AE97)+(AF18*AF97)+(AG18*AG97)))/((30))*6</f>
        <v>969413.50800000003</v>
      </c>
      <c r="F108" s="61">
        <f t="shared" ref="F108:F112" si="29">+E108*0.052</f>
        <v>50409.502415999996</v>
      </c>
      <c r="G108" s="60">
        <f t="shared" si="28"/>
        <v>68415660.953442723</v>
      </c>
      <c r="K108" s="21"/>
      <c r="L108" s="20"/>
      <c r="Y108" s="7"/>
    </row>
    <row r="109" spans="2:33" ht="20.25" customHeight="1" x14ac:dyDescent="0.25">
      <c r="C109" s="59" t="s">
        <v>50</v>
      </c>
      <c r="D109" s="60">
        <f>(AA32/30)*6</f>
        <v>79927638.57853955</v>
      </c>
      <c r="E109" s="60">
        <f>+(((AB33*AB97)+(AC33*AC97)+(AD33*AD97)+(AE33*AE97)+(AF33*AF97)+(AG33*AG97)))/((30))*6</f>
        <v>841429.24600000004</v>
      </c>
      <c r="F109" s="61">
        <f t="shared" si="29"/>
        <v>43754.320791999999</v>
      </c>
      <c r="G109" s="60">
        <f t="shared" si="28"/>
        <v>80812822.145331562</v>
      </c>
      <c r="K109" s="21"/>
      <c r="L109" s="20"/>
      <c r="Y109" s="7"/>
    </row>
    <row r="110" spans="2:33" ht="20.25" customHeight="1" x14ac:dyDescent="0.25">
      <c r="C110" s="59" t="s">
        <v>114</v>
      </c>
      <c r="D110" s="60">
        <f>(AA48/30)*6</f>
        <v>95559797.4301956</v>
      </c>
      <c r="E110" s="60">
        <f>+(((AB49*AB97)+(AC49*AC97)+(AD49*AD97)+(AE49*AE97)+(AF49*AF97)+(AG49*AG97)))/((30))*6</f>
        <v>741327.15999999992</v>
      </c>
      <c r="F110" s="61">
        <f t="shared" si="29"/>
        <v>38549.012319999994</v>
      </c>
      <c r="G110" s="60">
        <f t="shared" si="28"/>
        <v>96339673.602515593</v>
      </c>
      <c r="K110" s="21"/>
      <c r="L110" s="20"/>
      <c r="Y110" s="7"/>
    </row>
    <row r="111" spans="2:33" ht="20.25" customHeight="1" x14ac:dyDescent="0.25">
      <c r="C111" s="59" t="s">
        <v>75</v>
      </c>
      <c r="D111" s="60">
        <f>(AA56/30)*6</f>
        <v>97646458.239014462</v>
      </c>
      <c r="E111" s="60">
        <f>+(((AB57*AB97)+(AC57*AC97)+(AD57*AD97)+(AE57*AE97)+(AF57*AF97)+(AG57*AG97)))/((30))*6</f>
        <v>620452.67200000002</v>
      </c>
      <c r="F111" s="61">
        <f t="shared" si="29"/>
        <v>32263.538944</v>
      </c>
      <c r="G111" s="60">
        <f t="shared" si="28"/>
        <v>98299174.449958473</v>
      </c>
      <c r="K111" s="21"/>
      <c r="L111" s="20"/>
      <c r="Y111" s="7"/>
    </row>
    <row r="112" spans="2:33" ht="20.25" customHeight="1" x14ac:dyDescent="0.25">
      <c r="C112" s="59" t="s">
        <v>78</v>
      </c>
      <c r="D112" s="60">
        <f>(AA85/30)*6</f>
        <v>210997208.57487157</v>
      </c>
      <c r="E112" s="60">
        <f>+(((AB86*AB97)+(AC86*AC97)+(AD86*AD97)+(AE86*AE97)+(AF86*AF97)+(AG86*AG97)))/((30))*6</f>
        <v>2613496.0880000005</v>
      </c>
      <c r="F112" s="61">
        <f t="shared" si="29"/>
        <v>135901.79657600002</v>
      </c>
      <c r="G112" s="60">
        <f t="shared" si="28"/>
        <v>213746606.45944756</v>
      </c>
      <c r="K112" s="21"/>
      <c r="L112" s="20"/>
      <c r="Y112" s="7"/>
    </row>
    <row r="113" spans="3:25" ht="20.25" customHeight="1" x14ac:dyDescent="0.25">
      <c r="C113" s="64" t="s">
        <v>115</v>
      </c>
      <c r="D113" s="62">
        <f>SUM(D107:D112)</f>
        <v>604302637.32340372</v>
      </c>
      <c r="E113" s="62">
        <f>SUM(E107:E112)</f>
        <v>6309665.3620000007</v>
      </c>
      <c r="F113" s="62">
        <f>SUM(F107:F112)</f>
        <v>328102.59882399999</v>
      </c>
      <c r="G113" s="62">
        <f t="shared" si="28"/>
        <v>610940405.28422773</v>
      </c>
      <c r="K113" s="20"/>
      <c r="L113" s="20"/>
      <c r="Y113" s="7"/>
    </row>
    <row r="115" spans="3:25" ht="16.5" customHeight="1" x14ac:dyDescent="0.25">
      <c r="D115" s="105"/>
    </row>
    <row r="116" spans="3:25" ht="16.5" customHeight="1" x14ac:dyDescent="0.25">
      <c r="D116" s="105"/>
    </row>
    <row r="117" spans="3:25" ht="16.5" customHeight="1" x14ac:dyDescent="0.25">
      <c r="D117" s="105"/>
      <c r="E117" s="105"/>
      <c r="M117" s="43"/>
      <c r="Y117" s="9">
        <f>+D117+E117</f>
        <v>0</v>
      </c>
    </row>
    <row r="118" spans="3:25" ht="16.5" customHeight="1" x14ac:dyDescent="0.25">
      <c r="D118" s="109"/>
      <c r="E118" s="109"/>
      <c r="Y118" s="9">
        <f>+D118+E118</f>
        <v>0</v>
      </c>
    </row>
    <row r="119" spans="3:25" ht="16.5" customHeight="1" x14ac:dyDescent="0.25">
      <c r="D119" s="106"/>
      <c r="E119" s="109"/>
    </row>
    <row r="120" spans="3:25" ht="16.5" customHeight="1" x14ac:dyDescent="0.25">
      <c r="D120" s="106"/>
      <c r="E120" s="105"/>
    </row>
    <row r="121" spans="3:25" ht="16.5" customHeight="1" x14ac:dyDescent="0.25">
      <c r="D121" s="105"/>
      <c r="E121" s="105"/>
    </row>
    <row r="122" spans="3:25" ht="16.5" customHeight="1" x14ac:dyDescent="0.25">
      <c r="D122" s="109"/>
      <c r="E122" s="109"/>
    </row>
    <row r="123" spans="3:25" ht="16.5" customHeight="1" x14ac:dyDescent="0.25">
      <c r="D123" s="105"/>
      <c r="E123" s="105"/>
    </row>
    <row r="124" spans="3:25" ht="16.5" customHeight="1" x14ac:dyDescent="0.25">
      <c r="D124" s="105"/>
      <c r="E124" s="105"/>
    </row>
    <row r="125" spans="3:25" ht="16.5" customHeight="1" x14ac:dyDescent="0.25">
      <c r="D125" s="106"/>
      <c r="E125" s="106"/>
      <c r="Y125" s="9">
        <f>+D125+E125</f>
        <v>0</v>
      </c>
    </row>
  </sheetData>
  <mergeCells count="6">
    <mergeCell ref="B86:E86"/>
    <mergeCell ref="B12:E12"/>
    <mergeCell ref="B18:E18"/>
    <mergeCell ref="B33:E33"/>
    <mergeCell ref="B49:E49"/>
    <mergeCell ref="B57:E57"/>
  </mergeCells>
  <pageMargins left="0.27559055118110237" right="0.31496062992125984" top="0.74803149606299213" bottom="0.74803149606299213" header="0.31496062992125984" footer="0.31496062992125984"/>
  <pageSetup paperSize="14" scale="50" orientation="landscape" r:id="rId1"/>
  <ignoredErrors>
    <ignoredError sqref="AA49 AA57 M91:Z91 G91:L91 G100 AA18" formula="1"/>
  </ignoredError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H127"/>
  <sheetViews>
    <sheetView showGridLines="0" topLeftCell="F1" zoomScale="90" zoomScaleNormal="90" workbookViewId="0">
      <pane ySplit="1" topLeftCell="A8" activePane="bottomLeft" state="frozen"/>
      <selection activeCell="E1" sqref="E1"/>
      <selection pane="bottomLeft" activeCell="F15" sqref="F15:Z15"/>
    </sheetView>
  </sheetViews>
  <sheetFormatPr baseColWidth="10" defaultColWidth="9.140625" defaultRowHeight="12.75" x14ac:dyDescent="0.25"/>
  <cols>
    <col min="1" max="1" width="2.5703125" style="7" customWidth="1"/>
    <col min="2" max="2" width="12.85546875" style="12" customWidth="1"/>
    <col min="3" max="3" width="34" style="8" customWidth="1"/>
    <col min="4" max="4" width="29.85546875" style="8" customWidth="1"/>
    <col min="5" max="5" width="21.85546875" style="8" customWidth="1"/>
    <col min="6" max="6" width="19.42578125" style="128" customWidth="1"/>
    <col min="7" max="7" width="23.140625" style="128" customWidth="1"/>
    <col min="8" max="8" width="17.140625" style="128" customWidth="1"/>
    <col min="9" max="9" width="17.140625" style="128" hidden="1" customWidth="1"/>
    <col min="10" max="10" width="20.42578125" style="128" hidden="1" customWidth="1"/>
    <col min="11" max="11" width="21.42578125" style="128" hidden="1" customWidth="1"/>
    <col min="12" max="12" width="16.7109375" style="128" customWidth="1"/>
    <col min="13" max="13" width="17.42578125" style="128" customWidth="1"/>
    <col min="14" max="14" width="13.7109375" style="128" hidden="1" customWidth="1"/>
    <col min="15" max="15" width="16" style="128" customWidth="1"/>
    <col min="16" max="16" width="19" style="128" customWidth="1"/>
    <col min="17" max="17" width="17.42578125" style="128" customWidth="1"/>
    <col min="18" max="18" width="17.5703125" style="128" hidden="1" customWidth="1"/>
    <col min="19" max="19" width="18" style="128" hidden="1" customWidth="1"/>
    <col min="20" max="20" width="17.28515625" style="128" hidden="1" customWidth="1"/>
    <col min="21" max="21" width="14.7109375" style="128" customWidth="1"/>
    <col min="22" max="22" width="18.42578125" style="128" customWidth="1"/>
    <col min="23" max="23" width="17.140625" style="128" customWidth="1"/>
    <col min="24" max="24" width="18.85546875" style="128" customWidth="1"/>
    <col min="25" max="25" width="18.42578125" style="128" customWidth="1"/>
    <col min="26" max="26" width="16.7109375" style="7" customWidth="1"/>
    <col min="27" max="27" width="26.28515625" style="7" customWidth="1"/>
    <col min="28" max="33" width="15.85546875" style="7" customWidth="1"/>
    <col min="34" max="16384" width="9.140625" style="7"/>
  </cols>
  <sheetData>
    <row r="1" spans="2:33" s="1" customFormat="1" ht="114.75" x14ac:dyDescent="0.25">
      <c r="B1" s="117" t="s">
        <v>0</v>
      </c>
      <c r="C1" s="117" t="s">
        <v>1</v>
      </c>
      <c r="D1" s="117" t="s">
        <v>2</v>
      </c>
      <c r="E1" s="117" t="s">
        <v>3</v>
      </c>
      <c r="F1" s="118" t="s">
        <v>4</v>
      </c>
      <c r="G1" s="118" t="s">
        <v>5</v>
      </c>
      <c r="H1" s="118" t="s">
        <v>6</v>
      </c>
      <c r="I1" s="118" t="s">
        <v>7</v>
      </c>
      <c r="J1" s="118" t="s">
        <v>8</v>
      </c>
      <c r="K1" s="118" t="s">
        <v>9</v>
      </c>
      <c r="L1" s="118" t="s">
        <v>205</v>
      </c>
      <c r="M1" s="118" t="s">
        <v>206</v>
      </c>
      <c r="N1" s="118" t="s">
        <v>12</v>
      </c>
      <c r="O1" s="118" t="s">
        <v>13</v>
      </c>
      <c r="P1" s="118" t="s">
        <v>14</v>
      </c>
      <c r="Q1" s="118" t="s">
        <v>15</v>
      </c>
      <c r="R1" s="118" t="s">
        <v>16</v>
      </c>
      <c r="S1" s="118" t="s">
        <v>17</v>
      </c>
      <c r="T1" s="117" t="s">
        <v>18</v>
      </c>
      <c r="U1" s="118" t="s">
        <v>19</v>
      </c>
      <c r="V1" s="118" t="s">
        <v>20</v>
      </c>
      <c r="W1" s="119" t="s">
        <v>21</v>
      </c>
      <c r="X1" s="118" t="s">
        <v>22</v>
      </c>
      <c r="Y1" s="118" t="s">
        <v>23</v>
      </c>
      <c r="Z1" s="118" t="s">
        <v>24</v>
      </c>
      <c r="AA1" s="120" t="s">
        <v>25</v>
      </c>
      <c r="AB1" s="118" t="s">
        <v>26</v>
      </c>
      <c r="AC1" s="118" t="s">
        <v>27</v>
      </c>
      <c r="AD1" s="118" t="s">
        <v>28</v>
      </c>
      <c r="AE1" s="118" t="s">
        <v>29</v>
      </c>
      <c r="AF1" s="118" t="s">
        <v>30</v>
      </c>
      <c r="AG1" s="118" t="s">
        <v>31</v>
      </c>
    </row>
    <row r="2" spans="2:33" s="2" customFormat="1" ht="28.5" customHeight="1" x14ac:dyDescent="0.25">
      <c r="B2" s="30" t="s">
        <v>32</v>
      </c>
      <c r="C2" s="27" t="s">
        <v>33</v>
      </c>
      <c r="D2" s="27" t="s">
        <v>151</v>
      </c>
      <c r="E2" s="27" t="s">
        <v>35</v>
      </c>
      <c r="F2" s="28">
        <v>0</v>
      </c>
      <c r="G2" s="31">
        <v>1</v>
      </c>
      <c r="H2" s="28">
        <v>0</v>
      </c>
      <c r="I2" s="28">
        <v>0</v>
      </c>
      <c r="J2" s="28">
        <v>0</v>
      </c>
      <c r="K2" s="28">
        <v>0</v>
      </c>
      <c r="L2" s="28">
        <v>0</v>
      </c>
      <c r="M2" s="28">
        <v>0</v>
      </c>
      <c r="N2" s="28">
        <v>0</v>
      </c>
      <c r="O2" s="28">
        <v>0</v>
      </c>
      <c r="P2" s="28">
        <v>0</v>
      </c>
      <c r="Q2" s="28">
        <v>0</v>
      </c>
      <c r="R2" s="28">
        <v>0</v>
      </c>
      <c r="S2" s="28">
        <v>0</v>
      </c>
      <c r="T2" s="28">
        <v>0</v>
      </c>
      <c r="U2" s="28">
        <v>0</v>
      </c>
      <c r="V2" s="28">
        <v>0</v>
      </c>
      <c r="W2" s="28">
        <v>0</v>
      </c>
      <c r="X2" s="28">
        <v>0</v>
      </c>
      <c r="Y2" s="28">
        <v>0</v>
      </c>
      <c r="Z2" s="28">
        <v>0</v>
      </c>
      <c r="AB2" s="35">
        <v>19</v>
      </c>
      <c r="AC2" s="35">
        <v>2</v>
      </c>
      <c r="AD2" s="35">
        <v>1</v>
      </c>
      <c r="AE2" s="35">
        <v>1</v>
      </c>
      <c r="AF2" s="35">
        <v>1</v>
      </c>
      <c r="AG2" s="35">
        <v>2</v>
      </c>
    </row>
    <row r="3" spans="2:33" s="2" customFormat="1" ht="25.5" x14ac:dyDescent="0.25">
      <c r="B3" s="29" t="s">
        <v>32</v>
      </c>
      <c r="C3" s="27" t="s">
        <v>34</v>
      </c>
      <c r="D3" s="27" t="s">
        <v>151</v>
      </c>
      <c r="E3" s="27" t="s">
        <v>35</v>
      </c>
      <c r="F3" s="28">
        <v>0</v>
      </c>
      <c r="G3" s="31">
        <v>3</v>
      </c>
      <c r="H3" s="28">
        <v>0</v>
      </c>
      <c r="I3" s="28">
        <v>0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0</v>
      </c>
      <c r="R3" s="28">
        <v>0</v>
      </c>
      <c r="S3" s="28">
        <v>0</v>
      </c>
      <c r="T3" s="28">
        <v>0</v>
      </c>
      <c r="U3" s="28">
        <v>0</v>
      </c>
      <c r="V3" s="28">
        <v>0</v>
      </c>
      <c r="W3" s="28">
        <v>0</v>
      </c>
      <c r="X3" s="28">
        <v>0</v>
      </c>
      <c r="Y3" s="28">
        <v>0</v>
      </c>
      <c r="Z3" s="28">
        <v>0</v>
      </c>
      <c r="AB3" s="32">
        <v>0</v>
      </c>
      <c r="AC3" s="32">
        <v>0</v>
      </c>
      <c r="AD3" s="32">
        <v>0</v>
      </c>
      <c r="AE3" s="32">
        <v>0</v>
      </c>
      <c r="AF3" s="32">
        <v>0</v>
      </c>
      <c r="AG3" s="32">
        <v>0</v>
      </c>
    </row>
    <row r="4" spans="2:33" s="2" customFormat="1" ht="25.5" x14ac:dyDescent="0.25">
      <c r="B4" s="29" t="s">
        <v>32</v>
      </c>
      <c r="C4" s="27" t="s">
        <v>34</v>
      </c>
      <c r="D4" s="27" t="s">
        <v>150</v>
      </c>
      <c r="E4" s="27" t="s">
        <v>35</v>
      </c>
      <c r="F4" s="28">
        <v>0</v>
      </c>
      <c r="G4" s="31">
        <v>2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B4" s="32">
        <v>15</v>
      </c>
      <c r="AC4" s="32">
        <v>0</v>
      </c>
      <c r="AD4" s="35">
        <v>1</v>
      </c>
      <c r="AE4" s="35">
        <v>1</v>
      </c>
      <c r="AF4" s="32">
        <v>0</v>
      </c>
      <c r="AG4" s="35">
        <v>1</v>
      </c>
    </row>
    <row r="5" spans="2:33" s="2" customFormat="1" ht="38.25" x14ac:dyDescent="0.25">
      <c r="B5" s="29" t="s">
        <v>32</v>
      </c>
      <c r="C5" s="27" t="s">
        <v>34</v>
      </c>
      <c r="D5" s="27" t="s">
        <v>178</v>
      </c>
      <c r="E5" s="27" t="s">
        <v>35</v>
      </c>
      <c r="F5" s="28">
        <v>0</v>
      </c>
      <c r="G5" s="31">
        <v>1</v>
      </c>
      <c r="H5" s="28">
        <v>0</v>
      </c>
      <c r="I5" s="28">
        <v>0</v>
      </c>
      <c r="J5" s="28">
        <v>0</v>
      </c>
      <c r="K5" s="28">
        <v>0</v>
      </c>
      <c r="L5" s="28">
        <v>0</v>
      </c>
      <c r="M5" s="28">
        <v>0</v>
      </c>
      <c r="N5" s="28">
        <v>0</v>
      </c>
      <c r="O5" s="28">
        <v>0</v>
      </c>
      <c r="P5" s="28">
        <v>0</v>
      </c>
      <c r="Q5" s="28">
        <v>0</v>
      </c>
      <c r="R5" s="28">
        <v>0</v>
      </c>
      <c r="S5" s="28">
        <v>0</v>
      </c>
      <c r="T5" s="28">
        <v>0</v>
      </c>
      <c r="U5" s="28">
        <v>0</v>
      </c>
      <c r="V5" s="28">
        <v>0</v>
      </c>
      <c r="W5" s="28">
        <v>0</v>
      </c>
      <c r="X5" s="28">
        <v>0</v>
      </c>
      <c r="Y5" s="28">
        <v>0</v>
      </c>
      <c r="Z5" s="28">
        <v>0</v>
      </c>
      <c r="AB5" s="32">
        <v>7</v>
      </c>
      <c r="AC5" s="32">
        <v>0</v>
      </c>
      <c r="AD5" s="35">
        <v>1</v>
      </c>
      <c r="AE5" s="35">
        <v>1</v>
      </c>
      <c r="AF5" s="32">
        <v>0</v>
      </c>
      <c r="AG5" s="35">
        <v>1</v>
      </c>
    </row>
    <row r="6" spans="2:33" s="2" customFormat="1" ht="38.25" x14ac:dyDescent="0.25">
      <c r="B6" s="29" t="s">
        <v>32</v>
      </c>
      <c r="C6" s="27" t="s">
        <v>34</v>
      </c>
      <c r="D6" s="27" t="s">
        <v>144</v>
      </c>
      <c r="E6" s="27" t="s">
        <v>36</v>
      </c>
      <c r="F6" s="28">
        <v>0</v>
      </c>
      <c r="G6" s="31">
        <v>2</v>
      </c>
      <c r="H6" s="28">
        <v>0</v>
      </c>
      <c r="I6" s="28">
        <v>0</v>
      </c>
      <c r="J6" s="28">
        <v>0</v>
      </c>
      <c r="K6" s="28">
        <v>0</v>
      </c>
      <c r="L6" s="28">
        <v>0</v>
      </c>
      <c r="M6" s="28">
        <v>0</v>
      </c>
      <c r="N6" s="28">
        <v>0</v>
      </c>
      <c r="O6" s="28">
        <v>0</v>
      </c>
      <c r="P6" s="28">
        <v>0</v>
      </c>
      <c r="Q6" s="28">
        <v>0</v>
      </c>
      <c r="R6" s="28">
        <v>0</v>
      </c>
      <c r="S6" s="28">
        <v>0</v>
      </c>
      <c r="T6" s="28">
        <v>0</v>
      </c>
      <c r="U6" s="28">
        <v>0</v>
      </c>
      <c r="V6" s="28">
        <v>0</v>
      </c>
      <c r="W6" s="28">
        <v>0</v>
      </c>
      <c r="X6" s="31">
        <v>1</v>
      </c>
      <c r="Y6" s="28">
        <v>0</v>
      </c>
      <c r="Z6" s="28">
        <v>0</v>
      </c>
      <c r="AB6" s="32">
        <v>11</v>
      </c>
      <c r="AC6" s="32">
        <v>0</v>
      </c>
      <c r="AD6" s="35">
        <v>1</v>
      </c>
      <c r="AE6" s="35">
        <v>1</v>
      </c>
      <c r="AF6" s="32">
        <v>0</v>
      </c>
      <c r="AG6" s="35">
        <v>1</v>
      </c>
    </row>
    <row r="7" spans="2:33" s="2" customFormat="1" ht="25.5" x14ac:dyDescent="0.25">
      <c r="B7" s="29" t="s">
        <v>32</v>
      </c>
      <c r="C7" s="27" t="s">
        <v>34</v>
      </c>
      <c r="D7" s="27" t="s">
        <v>145</v>
      </c>
      <c r="E7" s="27" t="s">
        <v>36</v>
      </c>
      <c r="F7" s="28">
        <v>0</v>
      </c>
      <c r="G7" s="31">
        <v>1</v>
      </c>
      <c r="H7" s="28">
        <v>0</v>
      </c>
      <c r="I7" s="28"/>
      <c r="J7" s="28"/>
      <c r="K7" s="28"/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B7" s="32">
        <v>0</v>
      </c>
      <c r="AC7" s="32">
        <v>0</v>
      </c>
      <c r="AD7" s="32">
        <v>0</v>
      </c>
      <c r="AE7" s="32">
        <v>0</v>
      </c>
      <c r="AF7" s="32">
        <v>0</v>
      </c>
      <c r="AG7" s="32">
        <v>0</v>
      </c>
    </row>
    <row r="8" spans="2:33" s="2" customFormat="1" ht="25.5" x14ac:dyDescent="0.25">
      <c r="B8" s="29" t="s">
        <v>32</v>
      </c>
      <c r="C8" s="27" t="s">
        <v>34</v>
      </c>
      <c r="D8" s="27" t="s">
        <v>179</v>
      </c>
      <c r="E8" s="27" t="s">
        <v>37</v>
      </c>
      <c r="F8" s="28">
        <v>0</v>
      </c>
      <c r="G8" s="31">
        <v>2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0</v>
      </c>
      <c r="W8" s="28">
        <v>0</v>
      </c>
      <c r="X8" s="28">
        <v>0</v>
      </c>
      <c r="Y8" s="28">
        <v>0</v>
      </c>
      <c r="Z8" s="28">
        <v>0</v>
      </c>
      <c r="AB8" s="35">
        <v>16</v>
      </c>
      <c r="AC8" s="32">
        <v>0</v>
      </c>
      <c r="AD8" s="35">
        <v>1</v>
      </c>
      <c r="AE8" s="35">
        <v>1</v>
      </c>
      <c r="AF8" s="32">
        <v>0</v>
      </c>
      <c r="AG8" s="35">
        <v>3</v>
      </c>
    </row>
    <row r="9" spans="2:33" s="2" customFormat="1" ht="25.5" x14ac:dyDescent="0.25">
      <c r="B9" s="29" t="s">
        <v>32</v>
      </c>
      <c r="C9" s="27" t="s">
        <v>34</v>
      </c>
      <c r="D9" s="27" t="s">
        <v>38</v>
      </c>
      <c r="E9" s="27" t="s">
        <v>37</v>
      </c>
      <c r="F9" s="28">
        <v>0</v>
      </c>
      <c r="G9" s="31">
        <v>2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58">
        <f>(AA11/30)*30</f>
        <v>324478961.59004366</v>
      </c>
      <c r="AB9" s="32">
        <v>0</v>
      </c>
      <c r="AC9" s="32">
        <v>0</v>
      </c>
      <c r="AD9" s="32">
        <v>0</v>
      </c>
      <c r="AE9" s="32">
        <v>0</v>
      </c>
      <c r="AF9" s="32">
        <v>0</v>
      </c>
      <c r="AG9" s="32">
        <v>0</v>
      </c>
    </row>
    <row r="10" spans="2:33" s="2" customFormat="1" ht="25.5" x14ac:dyDescent="0.25">
      <c r="B10" s="29" t="s">
        <v>32</v>
      </c>
      <c r="C10" s="27" t="s">
        <v>34</v>
      </c>
      <c r="D10" s="27" t="s">
        <v>39</v>
      </c>
      <c r="E10" s="27" t="s">
        <v>40</v>
      </c>
      <c r="F10" s="28">
        <v>0</v>
      </c>
      <c r="G10" s="31">
        <v>1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B10" s="32">
        <v>0</v>
      </c>
      <c r="AC10" s="32">
        <v>0</v>
      </c>
      <c r="AD10" s="32">
        <v>0</v>
      </c>
      <c r="AE10" s="32">
        <v>0</v>
      </c>
      <c r="AF10" s="32">
        <v>0</v>
      </c>
      <c r="AG10" s="32">
        <v>0</v>
      </c>
    </row>
    <row r="11" spans="2:33" s="2" customFormat="1" ht="25.5" x14ac:dyDescent="0.25">
      <c r="B11" s="29" t="s">
        <v>32</v>
      </c>
      <c r="C11" s="27" t="s">
        <v>34</v>
      </c>
      <c r="D11" s="27" t="s">
        <v>180</v>
      </c>
      <c r="E11" s="27" t="s">
        <v>40</v>
      </c>
      <c r="F11" s="28">
        <v>0</v>
      </c>
      <c r="G11" s="31">
        <v>2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58">
        <f>+(G12*G97)+(X12*X97)</f>
        <v>324478961.59004366</v>
      </c>
      <c r="AB11" s="35">
        <v>15</v>
      </c>
      <c r="AC11" s="32">
        <v>0</v>
      </c>
      <c r="AD11" s="35">
        <v>1</v>
      </c>
      <c r="AE11" s="35">
        <v>1</v>
      </c>
      <c r="AF11" s="32">
        <v>0</v>
      </c>
      <c r="AG11" s="35">
        <v>3</v>
      </c>
    </row>
    <row r="12" spans="2:33" s="53" customFormat="1" ht="22.5" x14ac:dyDescent="0.25">
      <c r="B12" s="164" t="s">
        <v>41</v>
      </c>
      <c r="C12" s="164"/>
      <c r="D12" s="164"/>
      <c r="E12" s="164"/>
      <c r="F12" s="98">
        <f t="shared" ref="F12:Z12" si="0">SUM(F2:F11)</f>
        <v>0</v>
      </c>
      <c r="G12" s="98">
        <f t="shared" si="0"/>
        <v>17</v>
      </c>
      <c r="H12" s="98">
        <f t="shared" si="0"/>
        <v>0</v>
      </c>
      <c r="I12" s="98">
        <f t="shared" si="0"/>
        <v>0</v>
      </c>
      <c r="J12" s="98">
        <f t="shared" si="0"/>
        <v>0</v>
      </c>
      <c r="K12" s="98">
        <f t="shared" si="0"/>
        <v>0</v>
      </c>
      <c r="L12" s="98">
        <f t="shared" si="0"/>
        <v>0</v>
      </c>
      <c r="M12" s="98">
        <f t="shared" si="0"/>
        <v>0</v>
      </c>
      <c r="N12" s="98">
        <f t="shared" si="0"/>
        <v>0</v>
      </c>
      <c r="O12" s="98">
        <f t="shared" si="0"/>
        <v>0</v>
      </c>
      <c r="P12" s="98">
        <f t="shared" si="0"/>
        <v>0</v>
      </c>
      <c r="Q12" s="98">
        <f t="shared" si="0"/>
        <v>0</v>
      </c>
      <c r="R12" s="98">
        <f t="shared" si="0"/>
        <v>0</v>
      </c>
      <c r="S12" s="98">
        <f t="shared" si="0"/>
        <v>0</v>
      </c>
      <c r="T12" s="98">
        <f t="shared" si="0"/>
        <v>0</v>
      </c>
      <c r="U12" s="98">
        <f t="shared" si="0"/>
        <v>0</v>
      </c>
      <c r="V12" s="98">
        <f t="shared" si="0"/>
        <v>0</v>
      </c>
      <c r="W12" s="98">
        <f t="shared" si="0"/>
        <v>0</v>
      </c>
      <c r="X12" s="98">
        <f t="shared" si="0"/>
        <v>1</v>
      </c>
      <c r="Y12" s="98">
        <f t="shared" si="0"/>
        <v>0</v>
      </c>
      <c r="Z12" s="98">
        <f t="shared" si="0"/>
        <v>0</v>
      </c>
      <c r="AA12" s="121">
        <f>SUM(F12:Z12)</f>
        <v>18</v>
      </c>
      <c r="AB12" s="122">
        <f t="shared" ref="AB12:AG12" si="1">SUM(AB2:AB11)</f>
        <v>83</v>
      </c>
      <c r="AC12" s="122">
        <f t="shared" si="1"/>
        <v>2</v>
      </c>
      <c r="AD12" s="122">
        <f t="shared" si="1"/>
        <v>6</v>
      </c>
      <c r="AE12" s="122">
        <f t="shared" si="1"/>
        <v>6</v>
      </c>
      <c r="AF12" s="122">
        <f t="shared" si="1"/>
        <v>1</v>
      </c>
      <c r="AG12" s="122">
        <f t="shared" si="1"/>
        <v>11</v>
      </c>
    </row>
    <row r="13" spans="2:33" s="2" customFormat="1" x14ac:dyDescent="0.25">
      <c r="B13" s="30" t="s">
        <v>42</v>
      </c>
      <c r="C13" s="27" t="s">
        <v>43</v>
      </c>
      <c r="D13" s="27" t="s">
        <v>181</v>
      </c>
      <c r="E13" s="27" t="s">
        <v>45</v>
      </c>
      <c r="F13" s="28">
        <v>0</v>
      </c>
      <c r="G13" s="31">
        <v>1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32">
        <v>0</v>
      </c>
    </row>
    <row r="14" spans="2:33" s="2" customFormat="1" ht="25.5" x14ac:dyDescent="0.25">
      <c r="B14" s="29" t="s">
        <v>42</v>
      </c>
      <c r="C14" s="27" t="s">
        <v>44</v>
      </c>
      <c r="D14" s="27" t="s">
        <v>181</v>
      </c>
      <c r="E14" s="27" t="s">
        <v>45</v>
      </c>
      <c r="F14" s="31">
        <v>1</v>
      </c>
      <c r="G14" s="31">
        <v>3</v>
      </c>
      <c r="H14" s="31">
        <v>1</v>
      </c>
      <c r="I14" s="28">
        <v>0</v>
      </c>
      <c r="J14" s="28">
        <v>0</v>
      </c>
      <c r="K14" s="28">
        <v>0</v>
      </c>
      <c r="L14" s="28">
        <v>0</v>
      </c>
      <c r="M14" s="31">
        <v>1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31">
        <v>1</v>
      </c>
      <c r="Z14" s="28">
        <v>0</v>
      </c>
      <c r="AB14" s="35">
        <v>58</v>
      </c>
      <c r="AC14" s="35">
        <v>2</v>
      </c>
      <c r="AD14" s="35">
        <v>2</v>
      </c>
      <c r="AE14" s="35">
        <v>2</v>
      </c>
      <c r="AF14" s="35">
        <v>1</v>
      </c>
      <c r="AG14" s="35">
        <v>5</v>
      </c>
    </row>
    <row r="15" spans="2:33" s="2" customFormat="1" ht="38.25" x14ac:dyDescent="0.25">
      <c r="B15" s="29" t="s">
        <v>42</v>
      </c>
      <c r="C15" s="27" t="s">
        <v>46</v>
      </c>
      <c r="D15" s="27" t="s">
        <v>181</v>
      </c>
      <c r="E15" s="27" t="s">
        <v>45</v>
      </c>
      <c r="F15" s="31"/>
      <c r="G15" s="31">
        <v>2</v>
      </c>
      <c r="H15" s="31">
        <v>1</v>
      </c>
      <c r="I15" s="28"/>
      <c r="J15" s="28"/>
      <c r="K15" s="28"/>
      <c r="L15" s="28"/>
      <c r="M15" s="28"/>
      <c r="N15" s="28"/>
      <c r="O15" s="28"/>
      <c r="P15" s="31">
        <v>1</v>
      </c>
      <c r="Q15" s="28"/>
      <c r="R15" s="28"/>
      <c r="S15" s="28"/>
      <c r="T15" s="28"/>
      <c r="U15" s="28"/>
      <c r="V15" s="28"/>
      <c r="W15" s="28"/>
      <c r="X15" s="28"/>
      <c r="Y15" s="28"/>
      <c r="Z15" s="28"/>
      <c r="AB15" s="35">
        <v>5</v>
      </c>
      <c r="AC15" s="32">
        <v>40</v>
      </c>
      <c r="AD15" s="32">
        <v>2</v>
      </c>
      <c r="AE15" s="32">
        <v>2</v>
      </c>
      <c r="AF15" s="32">
        <v>1</v>
      </c>
      <c r="AG15" s="32"/>
    </row>
    <row r="16" spans="2:33" s="2" customFormat="1" ht="25.5" x14ac:dyDescent="0.25">
      <c r="B16" s="29" t="s">
        <v>42</v>
      </c>
      <c r="C16" s="27" t="s">
        <v>44</v>
      </c>
      <c r="D16" s="27" t="s">
        <v>152</v>
      </c>
      <c r="E16" s="27" t="s">
        <v>47</v>
      </c>
      <c r="F16" s="31">
        <v>3</v>
      </c>
      <c r="G16" s="31">
        <v>4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58">
        <f>(AA17/30)*30</f>
        <v>414427109.96872008</v>
      </c>
      <c r="AB16" s="35">
        <v>10</v>
      </c>
      <c r="AC16" s="32">
        <v>0</v>
      </c>
      <c r="AD16" s="35">
        <v>1</v>
      </c>
      <c r="AE16" s="35">
        <v>1</v>
      </c>
      <c r="AF16" s="32">
        <v>0</v>
      </c>
      <c r="AG16" s="35">
        <v>3</v>
      </c>
    </row>
    <row r="17" spans="2:34" s="2" customFormat="1" ht="48" customHeight="1" x14ac:dyDescent="0.25">
      <c r="B17" s="29" t="s">
        <v>42</v>
      </c>
      <c r="C17" s="27" t="s">
        <v>44</v>
      </c>
      <c r="D17" s="27" t="s">
        <v>146</v>
      </c>
      <c r="E17" s="27" t="s">
        <v>48</v>
      </c>
      <c r="F17" s="31">
        <v>2</v>
      </c>
      <c r="G17" s="31">
        <v>3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58">
        <f>+(F18*F97)+(G18*G97)+(H18*H97)+(M18*M97)+(P18*P97)+(Y18*Y97)</f>
        <v>414427109.96872008</v>
      </c>
      <c r="AB17" s="35">
        <v>10</v>
      </c>
      <c r="AC17" s="32">
        <v>0</v>
      </c>
      <c r="AD17" s="35">
        <v>1</v>
      </c>
      <c r="AE17" s="35">
        <v>1</v>
      </c>
      <c r="AF17" s="32">
        <v>0</v>
      </c>
      <c r="AG17" s="35">
        <v>3</v>
      </c>
    </row>
    <row r="18" spans="2:34" s="53" customFormat="1" ht="19.5" customHeight="1" x14ac:dyDescent="0.25">
      <c r="B18" s="164" t="s">
        <v>49</v>
      </c>
      <c r="C18" s="164"/>
      <c r="D18" s="164"/>
      <c r="E18" s="164"/>
      <c r="F18" s="98">
        <f t="shared" ref="F18:Z18" si="2">SUM(F13:F17)</f>
        <v>6</v>
      </c>
      <c r="G18" s="98">
        <f t="shared" si="2"/>
        <v>13</v>
      </c>
      <c r="H18" s="98">
        <f t="shared" si="2"/>
        <v>2</v>
      </c>
      <c r="I18" s="98">
        <f t="shared" si="2"/>
        <v>0</v>
      </c>
      <c r="J18" s="98">
        <f t="shared" si="2"/>
        <v>0</v>
      </c>
      <c r="K18" s="98">
        <f t="shared" si="2"/>
        <v>0</v>
      </c>
      <c r="L18" s="98">
        <f t="shared" si="2"/>
        <v>0</v>
      </c>
      <c r="M18" s="98">
        <f t="shared" si="2"/>
        <v>1</v>
      </c>
      <c r="N18" s="98">
        <f t="shared" si="2"/>
        <v>0</v>
      </c>
      <c r="O18" s="98">
        <f t="shared" si="2"/>
        <v>0</v>
      </c>
      <c r="P18" s="98">
        <f t="shared" si="2"/>
        <v>1</v>
      </c>
      <c r="Q18" s="98">
        <f t="shared" si="2"/>
        <v>0</v>
      </c>
      <c r="R18" s="98">
        <f t="shared" si="2"/>
        <v>0</v>
      </c>
      <c r="S18" s="98">
        <f t="shared" si="2"/>
        <v>0</v>
      </c>
      <c r="T18" s="98">
        <f t="shared" si="2"/>
        <v>0</v>
      </c>
      <c r="U18" s="98">
        <f t="shared" si="2"/>
        <v>0</v>
      </c>
      <c r="V18" s="98">
        <f t="shared" si="2"/>
        <v>0</v>
      </c>
      <c r="W18" s="98">
        <f t="shared" si="2"/>
        <v>0</v>
      </c>
      <c r="X18" s="98">
        <f t="shared" si="2"/>
        <v>0</v>
      </c>
      <c r="Y18" s="98">
        <f t="shared" si="2"/>
        <v>1</v>
      </c>
      <c r="Z18" s="98">
        <f t="shared" si="2"/>
        <v>0</v>
      </c>
      <c r="AA18" s="121">
        <f>SUM(F18:Z18)</f>
        <v>24</v>
      </c>
      <c r="AB18" s="122">
        <f>SUM(AB13:AB17)</f>
        <v>83</v>
      </c>
      <c r="AC18" s="122">
        <f t="shared" ref="AC18:AG18" si="3">SUM(AC13:AC17)</f>
        <v>42</v>
      </c>
      <c r="AD18" s="122">
        <f t="shared" si="3"/>
        <v>6</v>
      </c>
      <c r="AE18" s="122">
        <f t="shared" si="3"/>
        <v>6</v>
      </c>
      <c r="AF18" s="122">
        <f t="shared" si="3"/>
        <v>2</v>
      </c>
      <c r="AG18" s="122">
        <f t="shared" si="3"/>
        <v>11</v>
      </c>
    </row>
    <row r="19" spans="2:34" s="2" customFormat="1" ht="43.5" customHeight="1" x14ac:dyDescent="0.25">
      <c r="B19" s="30" t="s">
        <v>50</v>
      </c>
      <c r="C19" s="27" t="s">
        <v>33</v>
      </c>
      <c r="D19" s="27" t="s">
        <v>182</v>
      </c>
      <c r="E19" s="27" t="s">
        <v>52</v>
      </c>
      <c r="F19" s="28">
        <v>0</v>
      </c>
      <c r="G19" s="31">
        <v>1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B19" s="32">
        <v>0</v>
      </c>
      <c r="AC19" s="32">
        <v>0</v>
      </c>
      <c r="AD19" s="32">
        <v>0</v>
      </c>
      <c r="AE19" s="32">
        <v>0</v>
      </c>
      <c r="AF19" s="32">
        <v>0</v>
      </c>
      <c r="AG19" s="32">
        <v>0</v>
      </c>
    </row>
    <row r="20" spans="2:34" s="2" customFormat="1" ht="48" customHeight="1" x14ac:dyDescent="0.25">
      <c r="B20" s="29" t="s">
        <v>50</v>
      </c>
      <c r="C20" s="27" t="s">
        <v>195</v>
      </c>
      <c r="D20" s="27" t="s">
        <v>182</v>
      </c>
      <c r="E20" s="27" t="s">
        <v>52</v>
      </c>
      <c r="F20" s="28">
        <v>0</v>
      </c>
      <c r="G20" s="31">
        <v>4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31">
        <v>1</v>
      </c>
      <c r="R20" s="28">
        <v>0</v>
      </c>
      <c r="S20" s="28">
        <v>0</v>
      </c>
      <c r="T20" s="28">
        <v>0</v>
      </c>
      <c r="U20" s="28">
        <v>0</v>
      </c>
      <c r="V20" s="31">
        <v>1</v>
      </c>
      <c r="W20" s="28">
        <v>0</v>
      </c>
      <c r="X20" s="28">
        <v>0</v>
      </c>
      <c r="Y20" s="28">
        <v>0</v>
      </c>
      <c r="Z20" s="28">
        <v>0</v>
      </c>
      <c r="AB20" s="35">
        <v>18</v>
      </c>
      <c r="AC20" s="32">
        <v>0</v>
      </c>
      <c r="AD20" s="35">
        <v>2</v>
      </c>
      <c r="AE20" s="35">
        <v>2</v>
      </c>
      <c r="AF20" s="35">
        <v>1</v>
      </c>
      <c r="AG20" s="32">
        <v>0</v>
      </c>
    </row>
    <row r="21" spans="2:34" s="2" customFormat="1" ht="48" customHeight="1" x14ac:dyDescent="0.25">
      <c r="B21" s="29" t="s">
        <v>50</v>
      </c>
      <c r="C21" s="27" t="s">
        <v>195</v>
      </c>
      <c r="D21" s="27" t="s">
        <v>183</v>
      </c>
      <c r="E21" s="27" t="s">
        <v>121</v>
      </c>
      <c r="F21" s="28">
        <v>0</v>
      </c>
      <c r="G21" s="31">
        <v>1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B21" s="35">
        <v>8</v>
      </c>
      <c r="AC21" s="32">
        <v>0</v>
      </c>
      <c r="AD21" s="35">
        <v>1</v>
      </c>
      <c r="AE21" s="35">
        <v>1</v>
      </c>
      <c r="AF21" s="35">
        <v>1</v>
      </c>
      <c r="AG21" s="35">
        <v>1</v>
      </c>
    </row>
    <row r="22" spans="2:34" s="2" customFormat="1" ht="48" customHeight="1" x14ac:dyDescent="0.25">
      <c r="B22" s="29" t="s">
        <v>50</v>
      </c>
      <c r="C22" s="27" t="s">
        <v>195</v>
      </c>
      <c r="D22" s="27" t="s">
        <v>153</v>
      </c>
      <c r="E22" s="27" t="s">
        <v>123</v>
      </c>
      <c r="F22" s="28">
        <v>0</v>
      </c>
      <c r="G22" s="31">
        <v>1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B22" s="35">
        <v>8</v>
      </c>
      <c r="AC22" s="32">
        <v>0</v>
      </c>
      <c r="AD22" s="35">
        <v>1</v>
      </c>
      <c r="AE22" s="35">
        <v>1</v>
      </c>
      <c r="AF22" s="35">
        <v>1</v>
      </c>
      <c r="AG22" s="35">
        <v>1</v>
      </c>
    </row>
    <row r="23" spans="2:34" s="2" customFormat="1" ht="43.5" customHeight="1" x14ac:dyDescent="0.25">
      <c r="B23" s="30" t="s">
        <v>50</v>
      </c>
      <c r="C23" s="27" t="s">
        <v>51</v>
      </c>
      <c r="D23" s="27" t="s">
        <v>53</v>
      </c>
      <c r="E23" s="27" t="s">
        <v>52</v>
      </c>
      <c r="F23" s="28">
        <v>0</v>
      </c>
      <c r="G23" s="31">
        <v>3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/>
      <c r="N23" s="28">
        <v>0</v>
      </c>
      <c r="O23" s="28">
        <v>0</v>
      </c>
      <c r="P23" s="28">
        <v>0</v>
      </c>
      <c r="Q23" s="31">
        <v>1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B23" s="35">
        <v>22</v>
      </c>
      <c r="AC23" s="32">
        <v>0</v>
      </c>
      <c r="AD23" s="35">
        <v>2</v>
      </c>
      <c r="AE23" s="35">
        <v>2</v>
      </c>
      <c r="AF23" s="35">
        <v>1</v>
      </c>
      <c r="AG23" s="32">
        <v>0</v>
      </c>
    </row>
    <row r="24" spans="2:34" s="2" customFormat="1" ht="48" customHeight="1" x14ac:dyDescent="0.25">
      <c r="B24" s="29" t="s">
        <v>50</v>
      </c>
      <c r="C24" s="27" t="s">
        <v>54</v>
      </c>
      <c r="D24" s="27" t="s">
        <v>154</v>
      </c>
      <c r="E24" s="27" t="s">
        <v>121</v>
      </c>
      <c r="F24" s="28">
        <v>0</v>
      </c>
      <c r="G24" s="31">
        <v>3</v>
      </c>
      <c r="H24" s="28">
        <v>0</v>
      </c>
      <c r="I24" s="28">
        <v>0</v>
      </c>
      <c r="J24" s="28">
        <v>0</v>
      </c>
      <c r="K24" s="28">
        <v>0</v>
      </c>
      <c r="L24" s="31">
        <v>1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B24" s="35">
        <v>12</v>
      </c>
      <c r="AC24" s="32">
        <v>0</v>
      </c>
      <c r="AD24" s="35">
        <v>1</v>
      </c>
      <c r="AE24" s="35">
        <v>1</v>
      </c>
      <c r="AF24" s="32">
        <v>0</v>
      </c>
      <c r="AG24" s="32">
        <v>0</v>
      </c>
    </row>
    <row r="25" spans="2:34" s="2" customFormat="1" ht="48" customHeight="1" x14ac:dyDescent="0.25">
      <c r="B25" s="29" t="s">
        <v>50</v>
      </c>
      <c r="C25" s="27" t="s">
        <v>54</v>
      </c>
      <c r="D25" s="27" t="s">
        <v>147</v>
      </c>
      <c r="E25" s="27" t="s">
        <v>121</v>
      </c>
      <c r="F25" s="28">
        <v>0</v>
      </c>
      <c r="G25" s="31">
        <v>2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31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31">
        <v>1</v>
      </c>
      <c r="W25" s="28">
        <v>0</v>
      </c>
      <c r="X25" s="28">
        <v>0</v>
      </c>
      <c r="Y25" s="28">
        <v>0</v>
      </c>
      <c r="Z25" s="28">
        <v>0</v>
      </c>
      <c r="AB25" s="32">
        <v>0</v>
      </c>
      <c r="AC25" s="32">
        <v>0</v>
      </c>
      <c r="AD25" s="32">
        <v>0</v>
      </c>
      <c r="AE25" s="32">
        <v>0</v>
      </c>
      <c r="AF25" s="32">
        <v>0</v>
      </c>
      <c r="AG25" s="32">
        <v>0</v>
      </c>
    </row>
    <row r="26" spans="2:34" s="2" customFormat="1" ht="48" customHeight="1" x14ac:dyDescent="0.25">
      <c r="B26" s="29" t="s">
        <v>50</v>
      </c>
      <c r="C26" s="27" t="s">
        <v>54</v>
      </c>
      <c r="D26" s="27" t="s">
        <v>148</v>
      </c>
      <c r="E26" s="27" t="s">
        <v>124</v>
      </c>
      <c r="F26" s="28">
        <v>0</v>
      </c>
      <c r="G26" s="31">
        <v>1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B26" s="35">
        <v>6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</row>
    <row r="27" spans="2:34" s="2" customFormat="1" ht="49.5" customHeight="1" x14ac:dyDescent="0.25">
      <c r="B27" s="30" t="s">
        <v>50</v>
      </c>
      <c r="C27" s="27" t="s">
        <v>55</v>
      </c>
      <c r="D27" s="27" t="s">
        <v>184</v>
      </c>
      <c r="E27" s="27" t="s">
        <v>56</v>
      </c>
      <c r="F27" s="28">
        <v>0</v>
      </c>
      <c r="G27" s="31">
        <v>2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B27" s="35">
        <v>14</v>
      </c>
      <c r="AC27" s="32">
        <v>0</v>
      </c>
      <c r="AD27" s="35">
        <v>1</v>
      </c>
      <c r="AE27" s="35">
        <v>1</v>
      </c>
      <c r="AF27" s="32">
        <v>0</v>
      </c>
      <c r="AG27" s="35">
        <v>1</v>
      </c>
    </row>
    <row r="28" spans="2:34" s="2" customFormat="1" ht="49.5" customHeight="1" x14ac:dyDescent="0.25">
      <c r="B28" s="30" t="s">
        <v>50</v>
      </c>
      <c r="C28" s="27" t="s">
        <v>55</v>
      </c>
      <c r="D28" s="27" t="s">
        <v>185</v>
      </c>
      <c r="E28" s="27" t="s">
        <v>56</v>
      </c>
      <c r="F28" s="28">
        <v>0</v>
      </c>
      <c r="G28" s="31">
        <v>2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B28" s="35">
        <v>6</v>
      </c>
      <c r="AC28" s="35">
        <v>2</v>
      </c>
      <c r="AD28" s="35">
        <v>1</v>
      </c>
      <c r="AE28" s="35">
        <v>1</v>
      </c>
      <c r="AF28" s="32">
        <v>0</v>
      </c>
      <c r="AG28" s="35">
        <v>1</v>
      </c>
    </row>
    <row r="29" spans="2:34" s="2" customFormat="1" ht="49.5" customHeight="1" x14ac:dyDescent="0.25">
      <c r="B29" s="30" t="s">
        <v>50</v>
      </c>
      <c r="C29" s="27" t="s">
        <v>55</v>
      </c>
      <c r="D29" s="27" t="s">
        <v>186</v>
      </c>
      <c r="E29" s="27" t="s">
        <v>56</v>
      </c>
      <c r="F29" s="28">
        <v>0</v>
      </c>
      <c r="G29" s="31">
        <v>1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B29" s="35">
        <v>6</v>
      </c>
      <c r="AC29" s="35">
        <v>2</v>
      </c>
      <c r="AD29" s="35">
        <v>1</v>
      </c>
      <c r="AE29" s="35">
        <v>1</v>
      </c>
      <c r="AF29" s="32">
        <v>0</v>
      </c>
      <c r="AG29" s="35">
        <v>1</v>
      </c>
    </row>
    <row r="30" spans="2:34" s="2" customFormat="1" ht="49.5" customHeight="1" x14ac:dyDescent="0.25">
      <c r="B30" s="30" t="s">
        <v>50</v>
      </c>
      <c r="C30" s="27" t="s">
        <v>55</v>
      </c>
      <c r="D30" s="27" t="s">
        <v>171</v>
      </c>
      <c r="E30" s="27" t="s">
        <v>56</v>
      </c>
      <c r="F30" s="28">
        <v>0</v>
      </c>
      <c r="G30" s="31">
        <v>1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58">
        <f>(AA32/30)*30</f>
        <v>491097676.63053614</v>
      </c>
      <c r="AB30" s="35">
        <v>4</v>
      </c>
      <c r="AC30" s="35">
        <v>2</v>
      </c>
      <c r="AD30" s="32">
        <v>0</v>
      </c>
      <c r="AE30" s="32">
        <v>0</v>
      </c>
      <c r="AF30" s="32">
        <v>0</v>
      </c>
      <c r="AG30" s="32">
        <v>0</v>
      </c>
      <c r="AH30" s="32"/>
    </row>
    <row r="31" spans="2:34" s="2" customFormat="1" ht="49.5" customHeight="1" x14ac:dyDescent="0.25">
      <c r="B31" s="30" t="s">
        <v>50</v>
      </c>
      <c r="C31" s="27" t="s">
        <v>57</v>
      </c>
      <c r="D31" s="27" t="s">
        <v>187</v>
      </c>
      <c r="E31" s="27" t="s">
        <v>125</v>
      </c>
      <c r="F31" s="28">
        <v>0</v>
      </c>
      <c r="G31" s="31">
        <v>1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58"/>
      <c r="AB31" s="35">
        <v>6</v>
      </c>
      <c r="AC31" s="32">
        <v>0</v>
      </c>
      <c r="AD31" s="35">
        <v>1</v>
      </c>
      <c r="AE31" s="35">
        <v>1</v>
      </c>
      <c r="AF31" s="32">
        <v>0</v>
      </c>
      <c r="AG31" s="35">
        <v>1</v>
      </c>
    </row>
    <row r="32" spans="2:34" s="2" customFormat="1" ht="49.5" customHeight="1" x14ac:dyDescent="0.25">
      <c r="B32" s="30" t="s">
        <v>50</v>
      </c>
      <c r="C32" s="27" t="s">
        <v>57</v>
      </c>
      <c r="D32" s="27" t="s">
        <v>149</v>
      </c>
      <c r="E32" s="27" t="s">
        <v>126</v>
      </c>
      <c r="F32" s="28">
        <v>0</v>
      </c>
      <c r="G32" s="31">
        <v>1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58">
        <f>+(G33*G97)+(L33*L97)+(O33*O97)+(Q33*Q97)+(V33*V97)</f>
        <v>491097676.63053614</v>
      </c>
      <c r="AB32" s="35">
        <v>6</v>
      </c>
      <c r="AC32" s="32">
        <v>0</v>
      </c>
      <c r="AD32" s="35">
        <v>1</v>
      </c>
      <c r="AE32" s="35">
        <v>1</v>
      </c>
      <c r="AF32" s="32">
        <v>0</v>
      </c>
      <c r="AG32" s="35">
        <v>1</v>
      </c>
    </row>
    <row r="33" spans="2:33" s="53" customFormat="1" ht="22.5" x14ac:dyDescent="0.25">
      <c r="B33" s="164" t="s">
        <v>58</v>
      </c>
      <c r="C33" s="164"/>
      <c r="D33" s="164"/>
      <c r="E33" s="164"/>
      <c r="F33" s="98">
        <f t="shared" ref="F33:Z33" si="4">SUM(F19:F32)</f>
        <v>0</v>
      </c>
      <c r="G33" s="98">
        <f t="shared" si="4"/>
        <v>24</v>
      </c>
      <c r="H33" s="98">
        <f t="shared" si="4"/>
        <v>0</v>
      </c>
      <c r="I33" s="98">
        <f t="shared" si="4"/>
        <v>0</v>
      </c>
      <c r="J33" s="98">
        <f t="shared" si="4"/>
        <v>0</v>
      </c>
      <c r="K33" s="98">
        <f t="shared" si="4"/>
        <v>0</v>
      </c>
      <c r="L33" s="98">
        <f t="shared" si="4"/>
        <v>1</v>
      </c>
      <c r="M33" s="98">
        <f t="shared" si="4"/>
        <v>0</v>
      </c>
      <c r="N33" s="98">
        <f t="shared" si="4"/>
        <v>0</v>
      </c>
      <c r="O33" s="98">
        <f t="shared" si="4"/>
        <v>0</v>
      </c>
      <c r="P33" s="98">
        <f t="shared" si="4"/>
        <v>0</v>
      </c>
      <c r="Q33" s="98">
        <f t="shared" si="4"/>
        <v>2</v>
      </c>
      <c r="R33" s="98">
        <f t="shared" si="4"/>
        <v>0</v>
      </c>
      <c r="S33" s="98">
        <f t="shared" si="4"/>
        <v>0</v>
      </c>
      <c r="T33" s="98">
        <f t="shared" si="4"/>
        <v>0</v>
      </c>
      <c r="U33" s="98">
        <f t="shared" si="4"/>
        <v>0</v>
      </c>
      <c r="V33" s="98">
        <f t="shared" si="4"/>
        <v>2</v>
      </c>
      <c r="W33" s="98">
        <f t="shared" si="4"/>
        <v>0</v>
      </c>
      <c r="X33" s="98">
        <f t="shared" si="4"/>
        <v>0</v>
      </c>
      <c r="Y33" s="98">
        <f t="shared" si="4"/>
        <v>0</v>
      </c>
      <c r="Z33" s="98">
        <f t="shared" si="4"/>
        <v>0</v>
      </c>
      <c r="AA33" s="121">
        <f>SUM(F33:Z33)</f>
        <v>29</v>
      </c>
      <c r="AB33" s="122">
        <f t="shared" ref="AB33:AG33" si="5">SUM(AB19:AB32)</f>
        <v>116</v>
      </c>
      <c r="AC33" s="122">
        <f t="shared" si="5"/>
        <v>6</v>
      </c>
      <c r="AD33" s="122">
        <f t="shared" si="5"/>
        <v>12</v>
      </c>
      <c r="AE33" s="122">
        <f t="shared" si="5"/>
        <v>12</v>
      </c>
      <c r="AF33" s="122">
        <f t="shared" si="5"/>
        <v>4</v>
      </c>
      <c r="AG33" s="122">
        <f t="shared" si="5"/>
        <v>7</v>
      </c>
    </row>
    <row r="34" spans="2:33" s="2" customFormat="1" ht="39.75" customHeight="1" x14ac:dyDescent="0.25">
      <c r="B34" s="29" t="s">
        <v>59</v>
      </c>
      <c r="C34" s="27" t="s">
        <v>43</v>
      </c>
      <c r="D34" s="27" t="s">
        <v>60</v>
      </c>
      <c r="E34" s="27" t="s">
        <v>61</v>
      </c>
      <c r="F34" s="28">
        <v>0</v>
      </c>
      <c r="G34" s="31">
        <v>0</v>
      </c>
      <c r="H34" s="31">
        <v>1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B34" s="32">
        <v>0</v>
      </c>
      <c r="AC34" s="32">
        <v>0</v>
      </c>
      <c r="AD34" s="32">
        <v>0</v>
      </c>
      <c r="AE34" s="32">
        <v>0</v>
      </c>
      <c r="AF34" s="32">
        <v>0</v>
      </c>
      <c r="AG34" s="32">
        <v>0</v>
      </c>
    </row>
    <row r="35" spans="2:33" s="2" customFormat="1" ht="39.75" customHeight="1" x14ac:dyDescent="0.25">
      <c r="B35" s="29" t="s">
        <v>59</v>
      </c>
      <c r="C35" s="27" t="s">
        <v>43</v>
      </c>
      <c r="D35" s="27" t="s">
        <v>62</v>
      </c>
      <c r="E35" s="27" t="s">
        <v>61</v>
      </c>
      <c r="F35" s="28">
        <v>0</v>
      </c>
      <c r="G35" s="31">
        <v>1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31">
        <v>1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31">
        <v>1</v>
      </c>
      <c r="Z35" s="28">
        <v>0</v>
      </c>
      <c r="AB35" s="32">
        <v>0</v>
      </c>
      <c r="AC35" s="32">
        <v>0</v>
      </c>
      <c r="AD35" s="32">
        <v>0</v>
      </c>
      <c r="AE35" s="32">
        <v>0</v>
      </c>
      <c r="AF35" s="32">
        <v>0</v>
      </c>
      <c r="AG35" s="32">
        <v>0</v>
      </c>
    </row>
    <row r="36" spans="2:33" s="2" customFormat="1" ht="39.75" customHeight="1" x14ac:dyDescent="0.25">
      <c r="B36" s="29" t="s">
        <v>59</v>
      </c>
      <c r="C36" s="27" t="s">
        <v>43</v>
      </c>
      <c r="D36" s="27" t="s">
        <v>63</v>
      </c>
      <c r="E36" s="27" t="s">
        <v>61</v>
      </c>
      <c r="F36" s="28">
        <v>0</v>
      </c>
      <c r="G36" s="31">
        <v>2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B36" s="35">
        <v>25</v>
      </c>
      <c r="AC36" s="35">
        <v>2</v>
      </c>
      <c r="AD36" s="35">
        <v>3</v>
      </c>
      <c r="AE36" s="35">
        <v>1</v>
      </c>
      <c r="AF36" s="32">
        <v>0</v>
      </c>
      <c r="AG36" s="32">
        <v>0</v>
      </c>
    </row>
    <row r="37" spans="2:33" s="2" customFormat="1" ht="39.75" customHeight="1" x14ac:dyDescent="0.25">
      <c r="B37" s="29" t="s">
        <v>59</v>
      </c>
      <c r="C37" s="27" t="s">
        <v>43</v>
      </c>
      <c r="D37" s="27" t="s">
        <v>64</v>
      </c>
      <c r="E37" s="27" t="s">
        <v>61</v>
      </c>
      <c r="F37" s="28">
        <v>0</v>
      </c>
      <c r="G37" s="31">
        <v>1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B37" s="35">
        <v>10</v>
      </c>
      <c r="AC37" s="35">
        <v>2</v>
      </c>
      <c r="AD37" s="32">
        <v>0</v>
      </c>
      <c r="AE37" s="32">
        <v>0</v>
      </c>
      <c r="AF37" s="32">
        <v>0</v>
      </c>
      <c r="AG37" s="32">
        <v>0</v>
      </c>
    </row>
    <row r="38" spans="2:33" s="2" customFormat="1" ht="39.75" customHeight="1" x14ac:dyDescent="0.25">
      <c r="B38" s="29" t="s">
        <v>59</v>
      </c>
      <c r="C38" s="27" t="s">
        <v>43</v>
      </c>
      <c r="D38" s="27" t="s">
        <v>65</v>
      </c>
      <c r="E38" s="27" t="s">
        <v>61</v>
      </c>
      <c r="F38" s="28"/>
      <c r="G38" s="31">
        <v>1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B38" s="32">
        <v>0</v>
      </c>
      <c r="AC38" s="32">
        <v>0</v>
      </c>
      <c r="AD38" s="32">
        <v>0</v>
      </c>
      <c r="AE38" s="32">
        <v>0</v>
      </c>
      <c r="AF38" s="32">
        <v>0</v>
      </c>
      <c r="AG38" s="32">
        <v>0</v>
      </c>
    </row>
    <row r="39" spans="2:33" s="2" customFormat="1" ht="39.75" customHeight="1" x14ac:dyDescent="0.25">
      <c r="B39" s="29" t="s">
        <v>59</v>
      </c>
      <c r="C39" s="27" t="s">
        <v>66</v>
      </c>
      <c r="D39" s="27" t="s">
        <v>67</v>
      </c>
      <c r="E39" s="27" t="s">
        <v>61</v>
      </c>
      <c r="F39" s="28">
        <v>0</v>
      </c>
      <c r="G39" s="31">
        <v>3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31">
        <v>1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B39" s="35">
        <v>13</v>
      </c>
      <c r="AC39" s="35">
        <v>1</v>
      </c>
      <c r="AD39" s="32">
        <v>0</v>
      </c>
      <c r="AE39" s="32">
        <v>0</v>
      </c>
      <c r="AF39" s="32">
        <v>0</v>
      </c>
      <c r="AG39" s="35">
        <v>2</v>
      </c>
    </row>
    <row r="40" spans="2:33" s="2" customFormat="1" ht="39.75" customHeight="1" x14ac:dyDescent="0.25">
      <c r="B40" s="29" t="s">
        <v>59</v>
      </c>
      <c r="C40" s="27" t="s">
        <v>66</v>
      </c>
      <c r="D40" s="27" t="s">
        <v>68</v>
      </c>
      <c r="E40" s="27" t="s">
        <v>61</v>
      </c>
      <c r="F40" s="28">
        <v>0</v>
      </c>
      <c r="G40" s="31">
        <v>2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31">
        <v>1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B40" s="35">
        <v>11</v>
      </c>
      <c r="AC40" s="32">
        <v>0</v>
      </c>
      <c r="AD40" s="32">
        <v>0</v>
      </c>
      <c r="AE40" s="32">
        <v>0</v>
      </c>
      <c r="AF40" s="32">
        <v>0</v>
      </c>
      <c r="AG40" s="35">
        <v>3</v>
      </c>
    </row>
    <row r="41" spans="2:33" s="2" customFormat="1" ht="39.75" customHeight="1" x14ac:dyDescent="0.25">
      <c r="B41" s="29" t="s">
        <v>59</v>
      </c>
      <c r="C41" s="27" t="s">
        <v>66</v>
      </c>
      <c r="D41" s="27" t="s">
        <v>69</v>
      </c>
      <c r="E41" s="27" t="s">
        <v>61</v>
      </c>
      <c r="F41" s="28">
        <v>0</v>
      </c>
      <c r="G41" s="31">
        <v>2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B41" s="35">
        <v>9</v>
      </c>
      <c r="AC41" s="35">
        <v>1</v>
      </c>
      <c r="AD41" s="35">
        <v>1</v>
      </c>
      <c r="AE41" s="35">
        <v>1</v>
      </c>
      <c r="AF41" s="32">
        <v>0</v>
      </c>
      <c r="AG41" s="35">
        <v>4</v>
      </c>
    </row>
    <row r="42" spans="2:33" s="2" customFormat="1" ht="39.75" customHeight="1" x14ac:dyDescent="0.25">
      <c r="B42" s="29" t="s">
        <v>59</v>
      </c>
      <c r="C42" s="27" t="s">
        <v>66</v>
      </c>
      <c r="D42" s="27" t="s">
        <v>188</v>
      </c>
      <c r="E42" s="27" t="s">
        <v>61</v>
      </c>
      <c r="F42" s="28">
        <v>0</v>
      </c>
      <c r="G42" s="31">
        <v>3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B42" s="35">
        <v>11</v>
      </c>
      <c r="AC42" s="35">
        <v>1</v>
      </c>
      <c r="AD42" s="35">
        <v>1</v>
      </c>
      <c r="AE42" s="35">
        <v>1</v>
      </c>
      <c r="AF42" s="32">
        <v>0</v>
      </c>
      <c r="AG42" s="35">
        <v>3</v>
      </c>
    </row>
    <row r="43" spans="2:33" s="2" customFormat="1" ht="39.75" customHeight="1" x14ac:dyDescent="0.25">
      <c r="B43" s="29" t="s">
        <v>59</v>
      </c>
      <c r="C43" s="27" t="s">
        <v>66</v>
      </c>
      <c r="D43" s="27" t="s">
        <v>189</v>
      </c>
      <c r="E43" s="27" t="s">
        <v>70</v>
      </c>
      <c r="F43" s="28">
        <v>0</v>
      </c>
      <c r="G43" s="31">
        <v>2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B43" s="35">
        <v>13</v>
      </c>
      <c r="AC43" s="35">
        <v>1</v>
      </c>
      <c r="AD43" s="35">
        <v>1</v>
      </c>
      <c r="AE43" s="35">
        <v>1</v>
      </c>
      <c r="AF43" s="32">
        <v>0</v>
      </c>
      <c r="AG43" s="35">
        <v>2</v>
      </c>
    </row>
    <row r="44" spans="2:33" s="2" customFormat="1" ht="39.75" customHeight="1" x14ac:dyDescent="0.25">
      <c r="B44" s="29" t="s">
        <v>59</v>
      </c>
      <c r="C44" s="27" t="s">
        <v>66</v>
      </c>
      <c r="D44" s="27" t="s">
        <v>190</v>
      </c>
      <c r="E44" s="27" t="s">
        <v>71</v>
      </c>
      <c r="F44" s="28">
        <v>0</v>
      </c>
      <c r="G44" s="31">
        <v>1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B44" s="35">
        <v>8</v>
      </c>
      <c r="AC44" s="35">
        <v>1</v>
      </c>
      <c r="AD44" s="35">
        <v>1</v>
      </c>
      <c r="AE44" s="35">
        <v>1</v>
      </c>
      <c r="AF44" s="32">
        <v>0</v>
      </c>
      <c r="AG44" s="35">
        <v>1</v>
      </c>
    </row>
    <row r="45" spans="2:33" s="2" customFormat="1" ht="39.75" customHeight="1" x14ac:dyDescent="0.25">
      <c r="B45" s="29" t="s">
        <v>59</v>
      </c>
      <c r="C45" s="27" t="s">
        <v>66</v>
      </c>
      <c r="D45" s="27" t="s">
        <v>72</v>
      </c>
      <c r="E45" s="27" t="s">
        <v>73</v>
      </c>
      <c r="F45" s="28">
        <v>0</v>
      </c>
      <c r="G45" s="31">
        <v>1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</row>
    <row r="46" spans="2:33" s="2" customFormat="1" ht="39.75" customHeight="1" x14ac:dyDescent="0.25">
      <c r="B46" s="29" t="s">
        <v>59</v>
      </c>
      <c r="C46" s="27" t="s">
        <v>155</v>
      </c>
      <c r="D46" s="27" t="s">
        <v>191</v>
      </c>
      <c r="E46" s="27" t="s">
        <v>71</v>
      </c>
      <c r="F46" s="28">
        <v>0</v>
      </c>
      <c r="G46" s="31">
        <v>2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58">
        <f>(AA48/30)*30</f>
        <v>587248682.22106588</v>
      </c>
      <c r="AB46" s="35">
        <v>8</v>
      </c>
      <c r="AC46" s="35">
        <v>1</v>
      </c>
      <c r="AD46" s="35">
        <v>1</v>
      </c>
      <c r="AE46" s="35">
        <v>1</v>
      </c>
      <c r="AF46" s="32">
        <v>0</v>
      </c>
      <c r="AG46" s="35">
        <v>3</v>
      </c>
    </row>
    <row r="47" spans="2:33" s="2" customFormat="1" ht="39.75" customHeight="1" x14ac:dyDescent="0.25">
      <c r="B47" s="29" t="s">
        <v>59</v>
      </c>
      <c r="C47" s="27" t="s">
        <v>155</v>
      </c>
      <c r="D47" s="27" t="s">
        <v>172</v>
      </c>
      <c r="E47" s="27" t="s">
        <v>61</v>
      </c>
      <c r="F47" s="28">
        <v>0</v>
      </c>
      <c r="G47" s="31">
        <v>3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32">
        <v>0</v>
      </c>
    </row>
    <row r="48" spans="2:33" s="2" customFormat="1" ht="39.75" customHeight="1" x14ac:dyDescent="0.25">
      <c r="B48" s="29" t="s">
        <v>59</v>
      </c>
      <c r="C48" s="27" t="s">
        <v>155</v>
      </c>
      <c r="D48" s="27" t="s">
        <v>173</v>
      </c>
      <c r="E48" s="27" t="s">
        <v>127</v>
      </c>
      <c r="F48" s="28">
        <v>0</v>
      </c>
      <c r="G48" s="31">
        <v>5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58">
        <f>+(G49*G97)+(H49*H97)+(P49*P97)+(Q49*Q97)+(Y49*Y97)</f>
        <v>587248682.22106588</v>
      </c>
      <c r="AB48" s="32">
        <v>0</v>
      </c>
      <c r="AC48" s="32">
        <v>0</v>
      </c>
      <c r="AD48" s="32">
        <v>0</v>
      </c>
      <c r="AE48" s="32">
        <v>0</v>
      </c>
      <c r="AF48" s="32">
        <v>0</v>
      </c>
      <c r="AG48" s="32">
        <v>0</v>
      </c>
    </row>
    <row r="49" spans="2:33" s="53" customFormat="1" ht="22.5" x14ac:dyDescent="0.25">
      <c r="B49" s="164" t="s">
        <v>74</v>
      </c>
      <c r="C49" s="164"/>
      <c r="D49" s="164"/>
      <c r="E49" s="164"/>
      <c r="F49" s="98">
        <f t="shared" ref="F49:Z49" si="6">SUM(F34:F48)</f>
        <v>0</v>
      </c>
      <c r="G49" s="98">
        <f t="shared" si="6"/>
        <v>29</v>
      </c>
      <c r="H49" s="98">
        <f t="shared" si="6"/>
        <v>1</v>
      </c>
      <c r="I49" s="98">
        <f t="shared" si="6"/>
        <v>0</v>
      </c>
      <c r="J49" s="98">
        <f t="shared" si="6"/>
        <v>0</v>
      </c>
      <c r="K49" s="98">
        <f t="shared" si="6"/>
        <v>0</v>
      </c>
      <c r="L49" s="98">
        <f t="shared" si="6"/>
        <v>0</v>
      </c>
      <c r="M49" s="98">
        <f t="shared" si="6"/>
        <v>0</v>
      </c>
      <c r="N49" s="98">
        <f t="shared" si="6"/>
        <v>0</v>
      </c>
      <c r="O49" s="98">
        <f t="shared" si="6"/>
        <v>0</v>
      </c>
      <c r="P49" s="98">
        <f t="shared" si="6"/>
        <v>1</v>
      </c>
      <c r="Q49" s="98">
        <f t="shared" si="6"/>
        <v>2</v>
      </c>
      <c r="R49" s="98">
        <f t="shared" si="6"/>
        <v>0</v>
      </c>
      <c r="S49" s="98">
        <f t="shared" si="6"/>
        <v>0</v>
      </c>
      <c r="T49" s="98">
        <f t="shared" si="6"/>
        <v>0</v>
      </c>
      <c r="U49" s="98">
        <f t="shared" si="6"/>
        <v>0</v>
      </c>
      <c r="V49" s="98">
        <f t="shared" si="6"/>
        <v>0</v>
      </c>
      <c r="W49" s="98">
        <f t="shared" si="6"/>
        <v>0</v>
      </c>
      <c r="X49" s="98">
        <f t="shared" si="6"/>
        <v>0</v>
      </c>
      <c r="Y49" s="98">
        <f t="shared" si="6"/>
        <v>1</v>
      </c>
      <c r="Z49" s="98">
        <f t="shared" si="6"/>
        <v>0</v>
      </c>
      <c r="AA49" s="121">
        <f>SUM(F49:Z49)</f>
        <v>34</v>
      </c>
      <c r="AB49" s="122">
        <f>SUM(AB34:AB48)</f>
        <v>108</v>
      </c>
      <c r="AC49" s="122">
        <f t="shared" ref="AC49:AG49" si="7">SUM(AC34:AC48)</f>
        <v>10</v>
      </c>
      <c r="AD49" s="122">
        <f t="shared" si="7"/>
        <v>8</v>
      </c>
      <c r="AE49" s="122">
        <f t="shared" si="7"/>
        <v>6</v>
      </c>
      <c r="AF49" s="122">
        <f t="shared" si="7"/>
        <v>0</v>
      </c>
      <c r="AG49" s="122">
        <f t="shared" si="7"/>
        <v>18</v>
      </c>
    </row>
    <row r="50" spans="2:33" s="2" customFormat="1" ht="25.5" x14ac:dyDescent="0.25">
      <c r="B50" s="29" t="s">
        <v>75</v>
      </c>
      <c r="C50" s="27" t="s">
        <v>198</v>
      </c>
      <c r="D50" s="27" t="s">
        <v>196</v>
      </c>
      <c r="E50" s="27" t="s">
        <v>128</v>
      </c>
      <c r="F50" s="28">
        <v>0</v>
      </c>
      <c r="G50" s="31">
        <v>7</v>
      </c>
      <c r="H50" s="31">
        <v>1</v>
      </c>
      <c r="I50" s="28"/>
      <c r="J50" s="28"/>
      <c r="K50" s="28"/>
      <c r="L50" s="28">
        <v>0</v>
      </c>
      <c r="M50" s="28">
        <v>0</v>
      </c>
      <c r="N50" s="28">
        <v>0</v>
      </c>
      <c r="O50" s="28">
        <v>0</v>
      </c>
      <c r="P50" s="31">
        <v>1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B50" s="35">
        <v>45</v>
      </c>
      <c r="AC50" s="35">
        <v>2</v>
      </c>
      <c r="AD50" s="35">
        <v>2</v>
      </c>
      <c r="AE50" s="35">
        <v>2</v>
      </c>
      <c r="AF50" s="32">
        <v>0</v>
      </c>
      <c r="AG50" s="35">
        <v>1</v>
      </c>
    </row>
    <row r="51" spans="2:33" s="2" customFormat="1" ht="25.5" x14ac:dyDescent="0.25">
      <c r="B51" s="29" t="s">
        <v>75</v>
      </c>
      <c r="C51" s="27" t="s">
        <v>198</v>
      </c>
      <c r="D51" s="27" t="s">
        <v>76</v>
      </c>
      <c r="E51" s="27" t="s">
        <v>128</v>
      </c>
      <c r="F51" s="28">
        <v>0</v>
      </c>
      <c r="G51" s="31">
        <v>1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31">
        <v>1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B51" s="35">
        <v>6</v>
      </c>
      <c r="AC51" s="35">
        <v>1</v>
      </c>
      <c r="AD51" s="35">
        <v>1</v>
      </c>
      <c r="AE51" s="35">
        <v>1</v>
      </c>
      <c r="AF51" s="32">
        <v>0</v>
      </c>
      <c r="AG51" s="35">
        <v>1</v>
      </c>
    </row>
    <row r="52" spans="2:33" s="2" customFormat="1" ht="25.5" x14ac:dyDescent="0.25">
      <c r="B52" s="29" t="s">
        <v>75</v>
      </c>
      <c r="C52" s="27" t="s">
        <v>198</v>
      </c>
      <c r="D52" s="27" t="s">
        <v>156</v>
      </c>
      <c r="E52" s="27" t="s">
        <v>128</v>
      </c>
      <c r="F52" s="28">
        <v>0</v>
      </c>
      <c r="G52" s="31">
        <v>3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B52" s="35">
        <f>25</f>
        <v>25</v>
      </c>
      <c r="AC52" s="32">
        <v>0</v>
      </c>
      <c r="AD52" s="35">
        <f>2</f>
        <v>2</v>
      </c>
      <c r="AE52" s="35">
        <v>2</v>
      </c>
      <c r="AF52" s="32">
        <v>0</v>
      </c>
      <c r="AG52" s="35">
        <v>1</v>
      </c>
    </row>
    <row r="53" spans="2:33" s="2" customFormat="1" ht="38.25" x14ac:dyDescent="0.25">
      <c r="B53" s="29" t="s">
        <v>75</v>
      </c>
      <c r="C53" s="27" t="s">
        <v>169</v>
      </c>
      <c r="D53" s="27" t="s">
        <v>157</v>
      </c>
      <c r="E53" s="27" t="s">
        <v>128</v>
      </c>
      <c r="F53" s="28">
        <v>0</v>
      </c>
      <c r="G53" s="31">
        <v>6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B53" s="35">
        <v>25</v>
      </c>
      <c r="AC53" s="35">
        <v>1</v>
      </c>
      <c r="AD53" s="35">
        <v>1</v>
      </c>
      <c r="AE53" s="35">
        <v>1</v>
      </c>
      <c r="AF53" s="32">
        <v>0</v>
      </c>
      <c r="AG53" s="35">
        <v>1</v>
      </c>
    </row>
    <row r="54" spans="2:33" s="2" customFormat="1" ht="25.5" x14ac:dyDescent="0.25">
      <c r="B54" s="29" t="s">
        <v>75</v>
      </c>
      <c r="C54" s="27" t="s">
        <v>198</v>
      </c>
      <c r="D54" s="27" t="s">
        <v>170</v>
      </c>
      <c r="E54" s="27" t="s">
        <v>159</v>
      </c>
      <c r="F54" s="28">
        <v>0</v>
      </c>
      <c r="G54" s="31">
        <v>4</v>
      </c>
      <c r="H54" s="31">
        <v>1</v>
      </c>
      <c r="I54" s="28"/>
      <c r="J54" s="28"/>
      <c r="K54" s="28"/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58">
        <f>(AA56/30)*30</f>
        <v>600194756.76970828</v>
      </c>
      <c r="AB54" s="32">
        <v>0</v>
      </c>
      <c r="AC54" s="32">
        <v>0</v>
      </c>
      <c r="AD54" s="32">
        <v>0</v>
      </c>
      <c r="AE54" s="32">
        <v>0</v>
      </c>
      <c r="AF54" s="32">
        <v>0</v>
      </c>
      <c r="AG54" s="32">
        <v>0</v>
      </c>
    </row>
    <row r="55" spans="2:33" s="2" customFormat="1" ht="25.5" x14ac:dyDescent="0.25">
      <c r="B55" s="29" t="s">
        <v>75</v>
      </c>
      <c r="C55" s="27" t="s">
        <v>169</v>
      </c>
      <c r="D55" s="27" t="s">
        <v>158</v>
      </c>
      <c r="E55" s="27" t="s">
        <v>129</v>
      </c>
      <c r="F55" s="28">
        <v>0</v>
      </c>
      <c r="G55" s="31">
        <v>7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B55" s="35">
        <v>15</v>
      </c>
      <c r="AC55" s="35">
        <v>1</v>
      </c>
      <c r="AD55" s="35">
        <v>1</v>
      </c>
      <c r="AE55" s="35">
        <v>1</v>
      </c>
      <c r="AF55" s="32">
        <v>0</v>
      </c>
      <c r="AG55" s="35">
        <v>1</v>
      </c>
    </row>
    <row r="56" spans="2:33" s="2" customFormat="1" ht="25.5" x14ac:dyDescent="0.25">
      <c r="B56" s="29" t="s">
        <v>75</v>
      </c>
      <c r="C56" s="27" t="s">
        <v>169</v>
      </c>
      <c r="D56" s="27" t="s">
        <v>174</v>
      </c>
      <c r="E56" s="27" t="s">
        <v>129</v>
      </c>
      <c r="F56" s="28">
        <v>0</v>
      </c>
      <c r="G56" s="31">
        <v>1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31">
        <v>1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58">
        <f>+(G57*G97)+(H57*H97)+(P57*P97)</f>
        <v>600194756.76970828</v>
      </c>
      <c r="AB56" s="35">
        <v>5</v>
      </c>
      <c r="AC56" s="35">
        <v>0</v>
      </c>
      <c r="AD56" s="35">
        <v>1</v>
      </c>
      <c r="AE56" s="35">
        <v>1</v>
      </c>
      <c r="AF56" s="32">
        <v>0</v>
      </c>
      <c r="AG56" s="35">
        <v>1</v>
      </c>
    </row>
    <row r="57" spans="2:33" s="53" customFormat="1" ht="22.5" x14ac:dyDescent="0.25">
      <c r="B57" s="164" t="s">
        <v>77</v>
      </c>
      <c r="C57" s="164"/>
      <c r="D57" s="164"/>
      <c r="E57" s="164"/>
      <c r="F57" s="98">
        <f>SUM(F50:F56)</f>
        <v>0</v>
      </c>
      <c r="G57" s="98">
        <f>SUM(G50:G56)</f>
        <v>29</v>
      </c>
      <c r="H57" s="98">
        <f t="shared" ref="H57:Z57" si="8">SUM(H50:H56)</f>
        <v>2</v>
      </c>
      <c r="I57" s="98">
        <f t="shared" si="8"/>
        <v>0</v>
      </c>
      <c r="J57" s="98">
        <f t="shared" si="8"/>
        <v>0</v>
      </c>
      <c r="K57" s="98">
        <f t="shared" si="8"/>
        <v>0</v>
      </c>
      <c r="L57" s="98">
        <f t="shared" si="8"/>
        <v>0</v>
      </c>
      <c r="M57" s="98">
        <f t="shared" si="8"/>
        <v>0</v>
      </c>
      <c r="N57" s="98">
        <f t="shared" si="8"/>
        <v>0</v>
      </c>
      <c r="O57" s="98">
        <f t="shared" si="8"/>
        <v>0</v>
      </c>
      <c r="P57" s="98">
        <f t="shared" si="8"/>
        <v>3</v>
      </c>
      <c r="Q57" s="98">
        <f t="shared" si="8"/>
        <v>0</v>
      </c>
      <c r="R57" s="98">
        <f t="shared" si="8"/>
        <v>0</v>
      </c>
      <c r="S57" s="98">
        <f t="shared" si="8"/>
        <v>0</v>
      </c>
      <c r="T57" s="98">
        <f t="shared" si="8"/>
        <v>0</v>
      </c>
      <c r="U57" s="98">
        <f t="shared" si="8"/>
        <v>0</v>
      </c>
      <c r="V57" s="98">
        <f t="shared" si="8"/>
        <v>0</v>
      </c>
      <c r="W57" s="98">
        <f t="shared" si="8"/>
        <v>0</v>
      </c>
      <c r="X57" s="98">
        <f t="shared" si="8"/>
        <v>0</v>
      </c>
      <c r="Y57" s="98">
        <f t="shared" si="8"/>
        <v>0</v>
      </c>
      <c r="Z57" s="98">
        <f t="shared" si="8"/>
        <v>0</v>
      </c>
      <c r="AA57" s="121">
        <f>SUM(F57:Z57)</f>
        <v>34</v>
      </c>
      <c r="AB57" s="123">
        <f>SUM(AB50:AB56)</f>
        <v>121</v>
      </c>
      <c r="AC57" s="123">
        <f t="shared" ref="AC57:AG57" si="9">SUM(AC50:AC56)</f>
        <v>5</v>
      </c>
      <c r="AD57" s="123">
        <f t="shared" si="9"/>
        <v>8</v>
      </c>
      <c r="AE57" s="123">
        <f t="shared" si="9"/>
        <v>8</v>
      </c>
      <c r="AF57" s="123">
        <f t="shared" si="9"/>
        <v>0</v>
      </c>
      <c r="AG57" s="123">
        <f t="shared" si="9"/>
        <v>6</v>
      </c>
    </row>
    <row r="58" spans="2:33" s="2" customFormat="1" ht="23.25" customHeight="1" x14ac:dyDescent="0.25">
      <c r="B58" s="29" t="s">
        <v>78</v>
      </c>
      <c r="C58" s="27" t="s">
        <v>33</v>
      </c>
      <c r="D58" s="27" t="s">
        <v>160</v>
      </c>
      <c r="E58" s="27" t="s">
        <v>119</v>
      </c>
      <c r="F58" s="28">
        <v>0</v>
      </c>
      <c r="G58" s="31">
        <v>5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B58" s="35">
        <v>26</v>
      </c>
      <c r="AC58" s="35">
        <v>3</v>
      </c>
      <c r="AD58" s="35">
        <v>1</v>
      </c>
      <c r="AE58" s="35">
        <v>1</v>
      </c>
      <c r="AF58" s="35">
        <v>1</v>
      </c>
      <c r="AG58" s="35">
        <v>2</v>
      </c>
    </row>
    <row r="59" spans="2:33" s="2" customFormat="1" ht="23.25" customHeight="1" x14ac:dyDescent="0.25">
      <c r="B59" s="29" t="s">
        <v>78</v>
      </c>
      <c r="C59" s="27" t="s">
        <v>43</v>
      </c>
      <c r="D59" s="27" t="s">
        <v>164</v>
      </c>
      <c r="E59" s="27" t="s">
        <v>119</v>
      </c>
      <c r="F59" s="28">
        <v>0</v>
      </c>
      <c r="G59" s="31">
        <v>1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B59" s="32">
        <v>0</v>
      </c>
      <c r="AC59" s="32">
        <v>0</v>
      </c>
      <c r="AD59" s="32">
        <v>0</v>
      </c>
      <c r="AE59" s="32">
        <v>0</v>
      </c>
      <c r="AF59" s="32">
        <v>0</v>
      </c>
      <c r="AG59" s="32">
        <v>0</v>
      </c>
    </row>
    <row r="60" spans="2:33" s="2" customFormat="1" ht="25.5" x14ac:dyDescent="0.25">
      <c r="B60" s="30" t="s">
        <v>78</v>
      </c>
      <c r="C60" s="27" t="s">
        <v>79</v>
      </c>
      <c r="D60" s="27" t="s">
        <v>161</v>
      </c>
      <c r="E60" s="27" t="s">
        <v>119</v>
      </c>
      <c r="F60" s="28">
        <v>0</v>
      </c>
      <c r="G60" s="36">
        <v>1</v>
      </c>
      <c r="H60" s="31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B60" s="32">
        <v>0</v>
      </c>
      <c r="AC60" s="32">
        <v>0</v>
      </c>
      <c r="AD60" s="32">
        <v>0</v>
      </c>
      <c r="AE60" s="32">
        <v>0</v>
      </c>
      <c r="AF60" s="32">
        <v>0</v>
      </c>
      <c r="AG60" s="32">
        <v>0</v>
      </c>
    </row>
    <row r="61" spans="2:33" s="2" customFormat="1" ht="25.5" x14ac:dyDescent="0.25">
      <c r="B61" s="30" t="s">
        <v>78</v>
      </c>
      <c r="C61" s="27" t="s">
        <v>79</v>
      </c>
      <c r="D61" s="27" t="s">
        <v>162</v>
      </c>
      <c r="E61" s="27" t="s">
        <v>119</v>
      </c>
      <c r="F61" s="28">
        <v>0</v>
      </c>
      <c r="G61" s="36">
        <v>3</v>
      </c>
      <c r="H61" s="31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B61" s="35">
        <v>16</v>
      </c>
      <c r="AC61" s="32">
        <v>0</v>
      </c>
      <c r="AD61" s="35">
        <v>1</v>
      </c>
      <c r="AE61" s="35">
        <v>1</v>
      </c>
      <c r="AF61" s="35">
        <v>1</v>
      </c>
      <c r="AG61" s="35">
        <v>1</v>
      </c>
    </row>
    <row r="62" spans="2:33" s="2" customFormat="1" ht="25.5" x14ac:dyDescent="0.25">
      <c r="B62" s="30" t="s">
        <v>78</v>
      </c>
      <c r="C62" s="27" t="s">
        <v>79</v>
      </c>
      <c r="D62" s="27" t="s">
        <v>163</v>
      </c>
      <c r="E62" s="27" t="s">
        <v>119</v>
      </c>
      <c r="F62" s="28">
        <v>0</v>
      </c>
      <c r="G62" s="36">
        <v>1</v>
      </c>
      <c r="H62" s="31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B62" s="32">
        <v>0</v>
      </c>
      <c r="AC62" s="32">
        <v>0</v>
      </c>
      <c r="AD62" s="32">
        <v>0</v>
      </c>
      <c r="AE62" s="32">
        <v>0</v>
      </c>
      <c r="AF62" s="32">
        <v>0</v>
      </c>
      <c r="AG62" s="32">
        <v>0</v>
      </c>
    </row>
    <row r="63" spans="2:33" s="2" customFormat="1" ht="38.25" x14ac:dyDescent="0.25">
      <c r="B63" s="30" t="s">
        <v>78</v>
      </c>
      <c r="C63" s="27" t="s">
        <v>79</v>
      </c>
      <c r="D63" s="27" t="s">
        <v>80</v>
      </c>
      <c r="E63" s="27" t="s">
        <v>119</v>
      </c>
      <c r="F63" s="28">
        <v>0</v>
      </c>
      <c r="G63" s="36">
        <v>2</v>
      </c>
      <c r="H63" s="31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B63" s="35">
        <v>23</v>
      </c>
      <c r="AC63" s="32">
        <v>0</v>
      </c>
      <c r="AD63" s="35">
        <v>1</v>
      </c>
      <c r="AE63" s="35">
        <v>1</v>
      </c>
      <c r="AF63" s="35">
        <v>1</v>
      </c>
      <c r="AG63" s="35">
        <v>1</v>
      </c>
    </row>
    <row r="64" spans="2:33" s="2" customFormat="1" ht="25.5" x14ac:dyDescent="0.25">
      <c r="B64" s="29" t="s">
        <v>78</v>
      </c>
      <c r="C64" s="27" t="s">
        <v>81</v>
      </c>
      <c r="D64" s="27" t="s">
        <v>82</v>
      </c>
      <c r="E64" s="27" t="s">
        <v>130</v>
      </c>
      <c r="F64" s="28">
        <v>0</v>
      </c>
      <c r="G64" s="31">
        <v>4</v>
      </c>
      <c r="H64" s="28">
        <v>0</v>
      </c>
      <c r="I64" s="28">
        <v>0</v>
      </c>
      <c r="J64" s="28">
        <v>0</v>
      </c>
      <c r="K64" s="28">
        <v>0</v>
      </c>
      <c r="L64" s="31">
        <v>1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31">
        <v>1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B64" s="35">
        <v>28</v>
      </c>
      <c r="AC64" s="35">
        <v>4</v>
      </c>
      <c r="AD64" s="35">
        <v>2</v>
      </c>
      <c r="AE64" s="35">
        <v>2</v>
      </c>
      <c r="AF64" s="35">
        <v>2</v>
      </c>
      <c r="AG64" s="35">
        <v>5</v>
      </c>
    </row>
    <row r="65" spans="2:33" s="2" customFormat="1" ht="25.5" x14ac:dyDescent="0.25">
      <c r="B65" s="29" t="s">
        <v>78</v>
      </c>
      <c r="C65" s="27" t="s">
        <v>83</v>
      </c>
      <c r="D65" s="27" t="s">
        <v>141</v>
      </c>
      <c r="E65" s="27" t="s">
        <v>131</v>
      </c>
      <c r="F65" s="31">
        <v>2</v>
      </c>
      <c r="G65" s="31">
        <v>3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B65" s="35">
        <v>19</v>
      </c>
      <c r="AC65" s="35">
        <v>4</v>
      </c>
      <c r="AD65" s="35">
        <v>2</v>
      </c>
      <c r="AE65" s="35">
        <v>2</v>
      </c>
      <c r="AF65" s="35">
        <v>2</v>
      </c>
      <c r="AG65" s="35">
        <v>5</v>
      </c>
    </row>
    <row r="66" spans="2:33" s="2" customFormat="1" ht="25.5" x14ac:dyDescent="0.25">
      <c r="B66" s="30" t="s">
        <v>78</v>
      </c>
      <c r="C66" s="27" t="s">
        <v>84</v>
      </c>
      <c r="D66" s="27" t="s">
        <v>85</v>
      </c>
      <c r="E66" s="27" t="s">
        <v>132</v>
      </c>
      <c r="F66" s="36">
        <v>1</v>
      </c>
      <c r="G66" s="36">
        <v>5</v>
      </c>
      <c r="H66" s="31">
        <v>1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B66" s="35">
        <v>67</v>
      </c>
      <c r="AC66" s="35">
        <v>2</v>
      </c>
      <c r="AD66" s="35">
        <v>3</v>
      </c>
      <c r="AE66" s="35">
        <v>3</v>
      </c>
      <c r="AF66" s="35">
        <v>1</v>
      </c>
      <c r="AG66" s="35">
        <v>3</v>
      </c>
    </row>
    <row r="67" spans="2:33" s="2" customFormat="1" ht="25.5" x14ac:dyDescent="0.25">
      <c r="B67" s="30" t="s">
        <v>78</v>
      </c>
      <c r="C67" s="27" t="s">
        <v>84</v>
      </c>
      <c r="D67" s="27" t="s">
        <v>140</v>
      </c>
      <c r="E67" s="27" t="s">
        <v>132</v>
      </c>
      <c r="F67" s="28">
        <v>0</v>
      </c>
      <c r="G67" s="36">
        <v>1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B67" s="35">
        <v>8</v>
      </c>
      <c r="AC67" s="35">
        <v>1</v>
      </c>
      <c r="AD67" s="35">
        <v>1</v>
      </c>
      <c r="AE67" s="35">
        <v>1</v>
      </c>
      <c r="AF67" s="32">
        <v>0</v>
      </c>
      <c r="AG67" s="32">
        <v>0</v>
      </c>
    </row>
    <row r="68" spans="2:33" s="2" customFormat="1" ht="25.5" x14ac:dyDescent="0.25">
      <c r="B68" s="30" t="s">
        <v>78</v>
      </c>
      <c r="C68" s="27" t="s">
        <v>84</v>
      </c>
      <c r="D68" s="27" t="s">
        <v>86</v>
      </c>
      <c r="E68" s="27" t="s">
        <v>132</v>
      </c>
      <c r="F68" s="28">
        <v>0</v>
      </c>
      <c r="G68" s="36">
        <v>2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B68" s="32">
        <v>0</v>
      </c>
      <c r="AC68" s="32">
        <v>0</v>
      </c>
      <c r="AD68" s="32">
        <v>0</v>
      </c>
      <c r="AE68" s="32">
        <v>0</v>
      </c>
      <c r="AF68" s="32">
        <v>0</v>
      </c>
      <c r="AG68" s="32">
        <v>0</v>
      </c>
    </row>
    <row r="69" spans="2:33" s="2" customFormat="1" ht="25.5" x14ac:dyDescent="0.25">
      <c r="B69" s="29" t="s">
        <v>78</v>
      </c>
      <c r="C69" s="27" t="s">
        <v>87</v>
      </c>
      <c r="D69" s="27" t="s">
        <v>165</v>
      </c>
      <c r="E69" s="27" t="s">
        <v>132</v>
      </c>
      <c r="F69" s="28">
        <v>0</v>
      </c>
      <c r="G69" s="31">
        <v>2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B69" s="35">
        <v>13</v>
      </c>
      <c r="AC69" s="35">
        <v>3</v>
      </c>
      <c r="AD69" s="35">
        <v>1</v>
      </c>
      <c r="AE69" s="35">
        <v>1</v>
      </c>
      <c r="AF69" s="32">
        <v>0</v>
      </c>
      <c r="AG69" s="32">
        <v>0</v>
      </c>
    </row>
    <row r="70" spans="2:33" s="2" customFormat="1" ht="39" customHeight="1" x14ac:dyDescent="0.25">
      <c r="B70" s="29" t="s">
        <v>78</v>
      </c>
      <c r="C70" s="27" t="s">
        <v>87</v>
      </c>
      <c r="D70" s="27" t="s">
        <v>142</v>
      </c>
      <c r="E70" s="27" t="s">
        <v>132</v>
      </c>
      <c r="F70" s="28">
        <v>0</v>
      </c>
      <c r="G70" s="31">
        <v>1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B70" s="32">
        <v>0</v>
      </c>
      <c r="AC70" s="32">
        <v>0</v>
      </c>
      <c r="AD70" s="32">
        <v>0</v>
      </c>
      <c r="AE70" s="32">
        <v>0</v>
      </c>
      <c r="AF70" s="32">
        <v>0</v>
      </c>
      <c r="AG70" s="32">
        <v>0</v>
      </c>
    </row>
    <row r="71" spans="2:33" s="2" customFormat="1" ht="39" customHeight="1" x14ac:dyDescent="0.25">
      <c r="B71" s="29" t="s">
        <v>78</v>
      </c>
      <c r="C71" s="27" t="s">
        <v>87</v>
      </c>
      <c r="D71" s="27" t="s">
        <v>88</v>
      </c>
      <c r="E71" s="27" t="s">
        <v>133</v>
      </c>
      <c r="F71" s="28">
        <v>0</v>
      </c>
      <c r="G71" s="31">
        <v>3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31">
        <v>1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B71" s="35">
        <v>28</v>
      </c>
      <c r="AC71" s="35">
        <v>4</v>
      </c>
      <c r="AD71" s="32">
        <v>0</v>
      </c>
      <c r="AE71" s="32">
        <v>0</v>
      </c>
      <c r="AF71" s="35">
        <v>1</v>
      </c>
      <c r="AG71" s="35">
        <v>1</v>
      </c>
    </row>
    <row r="72" spans="2:33" s="2" customFormat="1" ht="39" customHeight="1" x14ac:dyDescent="0.25">
      <c r="B72" s="29" t="s">
        <v>78</v>
      </c>
      <c r="C72" s="27" t="s">
        <v>87</v>
      </c>
      <c r="D72" s="27" t="s">
        <v>192</v>
      </c>
      <c r="E72" s="27" t="s">
        <v>119</v>
      </c>
      <c r="F72" s="28">
        <v>0</v>
      </c>
      <c r="G72" s="31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31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B72" s="32">
        <v>0</v>
      </c>
      <c r="AC72" s="32">
        <v>0</v>
      </c>
      <c r="AD72" s="32">
        <v>0</v>
      </c>
      <c r="AE72" s="32">
        <v>0</v>
      </c>
      <c r="AF72" s="32">
        <v>0</v>
      </c>
      <c r="AG72" s="32">
        <v>0</v>
      </c>
    </row>
    <row r="73" spans="2:33" s="2" customFormat="1" ht="39" customHeight="1" x14ac:dyDescent="0.25">
      <c r="B73" s="30" t="s">
        <v>78</v>
      </c>
      <c r="C73" s="27" t="s">
        <v>89</v>
      </c>
      <c r="D73" s="27" t="s">
        <v>175</v>
      </c>
      <c r="E73" s="27" t="s">
        <v>120</v>
      </c>
      <c r="F73" s="33">
        <v>0</v>
      </c>
      <c r="G73" s="37">
        <v>3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34">
        <v>0</v>
      </c>
      <c r="V73" s="34">
        <v>0</v>
      </c>
      <c r="W73" s="34">
        <v>0</v>
      </c>
      <c r="X73" s="28">
        <v>0</v>
      </c>
      <c r="Y73" s="28">
        <v>0</v>
      </c>
      <c r="Z73" s="28">
        <v>0</v>
      </c>
      <c r="AB73" s="35">
        <v>24</v>
      </c>
      <c r="AC73" s="35">
        <v>1</v>
      </c>
      <c r="AD73" s="35">
        <v>1</v>
      </c>
      <c r="AE73" s="35">
        <v>1</v>
      </c>
      <c r="AF73" s="32">
        <v>0</v>
      </c>
      <c r="AG73" s="35">
        <v>4</v>
      </c>
    </row>
    <row r="74" spans="2:33" s="2" customFormat="1" ht="39" customHeight="1" x14ac:dyDescent="0.25">
      <c r="B74" s="30" t="s">
        <v>78</v>
      </c>
      <c r="C74" s="27" t="s">
        <v>89</v>
      </c>
      <c r="D74" s="27" t="s">
        <v>176</v>
      </c>
      <c r="E74" s="27" t="s">
        <v>118</v>
      </c>
      <c r="F74" s="33">
        <v>0</v>
      </c>
      <c r="G74" s="37">
        <v>1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34">
        <v>0</v>
      </c>
      <c r="V74" s="34">
        <v>0</v>
      </c>
      <c r="W74" s="34">
        <v>0</v>
      </c>
      <c r="X74" s="28">
        <v>0</v>
      </c>
      <c r="Y74" s="28">
        <v>0</v>
      </c>
      <c r="Z74" s="28">
        <v>0</v>
      </c>
      <c r="AB74" s="35">
        <v>8</v>
      </c>
      <c r="AC74" s="32">
        <v>0</v>
      </c>
      <c r="AD74" s="35">
        <v>1</v>
      </c>
      <c r="AE74" s="35">
        <v>1</v>
      </c>
      <c r="AF74" s="32">
        <v>0</v>
      </c>
      <c r="AG74" s="35">
        <v>2</v>
      </c>
    </row>
    <row r="75" spans="2:33" s="2" customFormat="1" ht="39" customHeight="1" x14ac:dyDescent="0.25">
      <c r="B75" s="29" t="s">
        <v>78</v>
      </c>
      <c r="C75" s="27" t="s">
        <v>90</v>
      </c>
      <c r="D75" s="27" t="s">
        <v>177</v>
      </c>
      <c r="E75" s="27" t="s">
        <v>116</v>
      </c>
      <c r="F75" s="28">
        <v>0</v>
      </c>
      <c r="G75" s="31">
        <v>3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B75" s="35">
        <v>9</v>
      </c>
      <c r="AC75" s="35">
        <v>2</v>
      </c>
      <c r="AD75" s="35">
        <v>1</v>
      </c>
      <c r="AE75" s="35">
        <v>1</v>
      </c>
      <c r="AF75" s="35">
        <v>1</v>
      </c>
      <c r="AG75" s="35">
        <v>2</v>
      </c>
    </row>
    <row r="76" spans="2:33" s="2" customFormat="1" ht="25.5" x14ac:dyDescent="0.25">
      <c r="B76" s="29" t="s">
        <v>78</v>
      </c>
      <c r="C76" s="27" t="s">
        <v>91</v>
      </c>
      <c r="D76" s="27" t="s">
        <v>166</v>
      </c>
      <c r="E76" s="27" t="s">
        <v>117</v>
      </c>
      <c r="F76" s="28">
        <v>0</v>
      </c>
      <c r="G76" s="31">
        <v>3</v>
      </c>
      <c r="H76" s="28">
        <v>0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B76" s="35">
        <v>11</v>
      </c>
      <c r="AC76" s="35">
        <v>2</v>
      </c>
      <c r="AD76" s="35">
        <v>1</v>
      </c>
      <c r="AE76" s="35">
        <v>1</v>
      </c>
      <c r="AF76" s="32">
        <v>0</v>
      </c>
      <c r="AG76" s="35">
        <v>6</v>
      </c>
    </row>
    <row r="77" spans="2:33" s="2" customFormat="1" ht="25.5" x14ac:dyDescent="0.25">
      <c r="B77" s="29" t="s">
        <v>78</v>
      </c>
      <c r="C77" s="27" t="s">
        <v>91</v>
      </c>
      <c r="D77" s="27" t="s">
        <v>199</v>
      </c>
      <c r="E77" s="27" t="s">
        <v>116</v>
      </c>
      <c r="F77" s="28">
        <v>0</v>
      </c>
      <c r="G77" s="31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31">
        <v>1</v>
      </c>
      <c r="X77" s="28">
        <v>0</v>
      </c>
      <c r="Y77" s="28">
        <v>0</v>
      </c>
      <c r="Z77" s="28">
        <v>0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32">
        <v>0</v>
      </c>
    </row>
    <row r="78" spans="2:33" s="2" customFormat="1" ht="25.5" x14ac:dyDescent="0.25">
      <c r="B78" s="29" t="s">
        <v>78</v>
      </c>
      <c r="C78" s="27" t="s">
        <v>91</v>
      </c>
      <c r="D78" s="27" t="s">
        <v>92</v>
      </c>
      <c r="E78" s="27" t="s">
        <v>134</v>
      </c>
      <c r="F78" s="28">
        <v>0</v>
      </c>
      <c r="G78" s="31">
        <v>1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B78" s="35">
        <v>5</v>
      </c>
      <c r="AC78" s="35">
        <v>2</v>
      </c>
      <c r="AD78" s="35">
        <v>1</v>
      </c>
      <c r="AE78" s="35">
        <v>1</v>
      </c>
      <c r="AF78" s="32">
        <v>0</v>
      </c>
      <c r="AG78" s="35">
        <v>1</v>
      </c>
    </row>
    <row r="79" spans="2:33" s="2" customFormat="1" ht="25.5" x14ac:dyDescent="0.25">
      <c r="B79" s="30" t="s">
        <v>78</v>
      </c>
      <c r="C79" s="27" t="s">
        <v>93</v>
      </c>
      <c r="D79" s="27" t="s">
        <v>167</v>
      </c>
      <c r="E79" s="27" t="s">
        <v>135</v>
      </c>
      <c r="F79" s="28">
        <v>0</v>
      </c>
      <c r="G79" s="36">
        <v>3</v>
      </c>
      <c r="H79" s="31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B79" s="35">
        <v>19</v>
      </c>
      <c r="AC79" s="32">
        <v>0</v>
      </c>
      <c r="AD79" s="35">
        <v>1</v>
      </c>
      <c r="AE79" s="35">
        <v>1</v>
      </c>
      <c r="AF79" s="32">
        <v>0</v>
      </c>
      <c r="AG79" s="35">
        <v>2</v>
      </c>
    </row>
    <row r="80" spans="2:33" s="2" customFormat="1" ht="25.5" x14ac:dyDescent="0.25">
      <c r="B80" s="30" t="s">
        <v>78</v>
      </c>
      <c r="C80" s="27" t="s">
        <v>93</v>
      </c>
      <c r="D80" s="27" t="s">
        <v>194</v>
      </c>
      <c r="E80" s="27" t="s">
        <v>136</v>
      </c>
      <c r="F80" s="28">
        <v>0</v>
      </c>
      <c r="G80" s="36">
        <v>2</v>
      </c>
      <c r="H80" s="31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B80" s="35">
        <v>16</v>
      </c>
      <c r="AC80" s="32">
        <v>0</v>
      </c>
      <c r="AD80" s="35">
        <v>1</v>
      </c>
      <c r="AE80" s="35">
        <v>1</v>
      </c>
      <c r="AF80" s="32">
        <v>0</v>
      </c>
      <c r="AG80" s="32">
        <v>0</v>
      </c>
    </row>
    <row r="81" spans="2:33" s="2" customFormat="1" ht="25.5" x14ac:dyDescent="0.25">
      <c r="B81" s="30" t="s">
        <v>78</v>
      </c>
      <c r="C81" s="27" t="s">
        <v>93</v>
      </c>
      <c r="D81" s="27" t="s">
        <v>143</v>
      </c>
      <c r="E81" s="27" t="s">
        <v>122</v>
      </c>
      <c r="F81" s="28">
        <v>0</v>
      </c>
      <c r="G81" s="36">
        <v>3</v>
      </c>
      <c r="H81" s="31">
        <v>0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B81" s="35">
        <v>15</v>
      </c>
      <c r="AC81" s="32">
        <v>0</v>
      </c>
      <c r="AD81" s="35">
        <v>1</v>
      </c>
      <c r="AE81" s="35">
        <v>1</v>
      </c>
      <c r="AF81" s="32">
        <v>0</v>
      </c>
      <c r="AG81" s="35">
        <v>2</v>
      </c>
    </row>
    <row r="82" spans="2:33" s="2" customFormat="1" ht="25.5" x14ac:dyDescent="0.25">
      <c r="B82" s="30" t="s">
        <v>78</v>
      </c>
      <c r="C82" s="27" t="s">
        <v>93</v>
      </c>
      <c r="D82" s="27" t="s">
        <v>94</v>
      </c>
      <c r="E82" s="27" t="s">
        <v>137</v>
      </c>
      <c r="F82" s="28">
        <v>0</v>
      </c>
      <c r="G82" s="36">
        <v>1</v>
      </c>
      <c r="H82" s="31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B82" s="35">
        <v>22</v>
      </c>
      <c r="AC82" s="35">
        <v>4</v>
      </c>
      <c r="AD82" s="35">
        <v>1</v>
      </c>
      <c r="AE82" s="35">
        <v>1</v>
      </c>
      <c r="AF82" s="32">
        <v>0</v>
      </c>
      <c r="AG82" s="35">
        <v>4</v>
      </c>
    </row>
    <row r="83" spans="2:33" s="2" customFormat="1" ht="25.5" x14ac:dyDescent="0.25">
      <c r="B83" s="29" t="s">
        <v>78</v>
      </c>
      <c r="C83" s="27" t="s">
        <v>95</v>
      </c>
      <c r="D83" s="27" t="s">
        <v>193</v>
      </c>
      <c r="E83" s="27" t="s">
        <v>138</v>
      </c>
      <c r="F83" s="28">
        <v>0</v>
      </c>
      <c r="G83" s="31">
        <v>5</v>
      </c>
      <c r="H83" s="31">
        <v>1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B83" s="35">
        <v>8</v>
      </c>
      <c r="AC83" s="35">
        <v>2</v>
      </c>
      <c r="AD83" s="35">
        <v>1</v>
      </c>
      <c r="AE83" s="35">
        <v>1</v>
      </c>
      <c r="AF83" s="32">
        <v>0</v>
      </c>
      <c r="AG83" s="32">
        <v>0</v>
      </c>
    </row>
    <row r="84" spans="2:33" s="2" customFormat="1" ht="25.5" x14ac:dyDescent="0.25">
      <c r="B84" s="29" t="s">
        <v>78</v>
      </c>
      <c r="C84" s="27" t="s">
        <v>95</v>
      </c>
      <c r="D84" s="27" t="s">
        <v>168</v>
      </c>
      <c r="E84" s="27" t="s">
        <v>138</v>
      </c>
      <c r="F84" s="28">
        <v>0</v>
      </c>
      <c r="G84" s="31">
        <v>1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58">
        <f>(AA85/30)*30</f>
        <v>1297262331.5107317</v>
      </c>
      <c r="AB84" s="35">
        <v>12</v>
      </c>
      <c r="AC84" s="32">
        <v>0</v>
      </c>
      <c r="AD84" s="35">
        <v>1</v>
      </c>
      <c r="AE84" s="35">
        <v>1</v>
      </c>
      <c r="AF84" s="32">
        <v>0</v>
      </c>
      <c r="AG84" s="32">
        <v>0</v>
      </c>
    </row>
    <row r="85" spans="2:33" s="2" customFormat="1" ht="25.5" x14ac:dyDescent="0.25">
      <c r="B85" s="29" t="s">
        <v>78</v>
      </c>
      <c r="C85" s="27" t="s">
        <v>95</v>
      </c>
      <c r="D85" s="27" t="s">
        <v>139</v>
      </c>
      <c r="E85" s="27" t="s">
        <v>197</v>
      </c>
      <c r="F85" s="28">
        <v>0</v>
      </c>
      <c r="G85" s="31">
        <v>2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58">
        <f>+(F86*F97)+(G86*G97)+(H86*H97)+(L86*L97)+(P86*P97)+(U86*U97)+(W86*W97)</f>
        <v>1297262331.5107317</v>
      </c>
      <c r="AB85" s="32">
        <v>0</v>
      </c>
      <c r="AC85" s="32">
        <v>0</v>
      </c>
      <c r="AD85" s="32">
        <v>0</v>
      </c>
      <c r="AE85" s="32">
        <v>0</v>
      </c>
      <c r="AF85" s="32">
        <v>0</v>
      </c>
      <c r="AG85" s="32">
        <v>0</v>
      </c>
    </row>
    <row r="86" spans="2:33" s="53" customFormat="1" ht="22.5" x14ac:dyDescent="0.25">
      <c r="B86" s="164" t="s">
        <v>96</v>
      </c>
      <c r="C86" s="164"/>
      <c r="D86" s="164"/>
      <c r="E86" s="164"/>
      <c r="F86" s="98">
        <f t="shared" ref="F86:Z86" si="10">SUM(F58:F85)</f>
        <v>3</v>
      </c>
      <c r="G86" s="98">
        <f t="shared" si="10"/>
        <v>62</v>
      </c>
      <c r="H86" s="98">
        <f t="shared" si="10"/>
        <v>2</v>
      </c>
      <c r="I86" s="98">
        <f t="shared" si="10"/>
        <v>0</v>
      </c>
      <c r="J86" s="98">
        <f t="shared" si="10"/>
        <v>0</v>
      </c>
      <c r="K86" s="98">
        <f t="shared" si="10"/>
        <v>0</v>
      </c>
      <c r="L86" s="98">
        <f t="shared" si="10"/>
        <v>1</v>
      </c>
      <c r="M86" s="98">
        <f t="shared" si="10"/>
        <v>0</v>
      </c>
      <c r="N86" s="98">
        <f t="shared" si="10"/>
        <v>0</v>
      </c>
      <c r="O86" s="98">
        <f t="shared" si="10"/>
        <v>0</v>
      </c>
      <c r="P86" s="98">
        <f t="shared" si="10"/>
        <v>2</v>
      </c>
      <c r="Q86" s="98">
        <f t="shared" si="10"/>
        <v>0</v>
      </c>
      <c r="R86" s="98">
        <f t="shared" si="10"/>
        <v>0</v>
      </c>
      <c r="S86" s="98">
        <f t="shared" si="10"/>
        <v>0</v>
      </c>
      <c r="T86" s="98">
        <f t="shared" si="10"/>
        <v>0</v>
      </c>
      <c r="U86" s="98">
        <f t="shared" si="10"/>
        <v>1</v>
      </c>
      <c r="V86" s="98">
        <f t="shared" si="10"/>
        <v>0</v>
      </c>
      <c r="W86" s="98">
        <f t="shared" si="10"/>
        <v>1</v>
      </c>
      <c r="X86" s="98">
        <f t="shared" si="10"/>
        <v>0</v>
      </c>
      <c r="Y86" s="98">
        <f t="shared" si="10"/>
        <v>0</v>
      </c>
      <c r="Z86" s="98">
        <f t="shared" si="10"/>
        <v>0</v>
      </c>
      <c r="AA86" s="121">
        <f>SUM(F86:Z86)</f>
        <v>72</v>
      </c>
      <c r="AB86" s="124">
        <f t="shared" ref="AB86:AG86" si="11">SUM(AB58:AB85)</f>
        <v>377</v>
      </c>
      <c r="AC86" s="124">
        <f t="shared" si="11"/>
        <v>34</v>
      </c>
      <c r="AD86" s="124">
        <f t="shared" si="11"/>
        <v>23</v>
      </c>
      <c r="AE86" s="124">
        <f t="shared" si="11"/>
        <v>23</v>
      </c>
      <c r="AF86" s="124">
        <f t="shared" si="11"/>
        <v>10</v>
      </c>
      <c r="AG86" s="124">
        <f t="shared" si="11"/>
        <v>41</v>
      </c>
    </row>
    <row r="87" spans="2:33" s="54" customFormat="1" ht="19.5" x14ac:dyDescent="0.25">
      <c r="B87" s="55"/>
      <c r="C87" s="55"/>
      <c r="D87" s="55"/>
      <c r="E87" s="55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7"/>
    </row>
    <row r="88" spans="2:33" s="4" customFormat="1" ht="24" x14ac:dyDescent="0.25">
      <c r="B88" s="3"/>
      <c r="C88" s="3"/>
      <c r="D88" s="3"/>
      <c r="E88" s="69" t="s">
        <v>97</v>
      </c>
      <c r="F88" s="66">
        <f t="shared" ref="F88:Z88" si="12">+F12+F18+F33+F49+F57+F86</f>
        <v>9</v>
      </c>
      <c r="G88" s="66">
        <f t="shared" si="12"/>
        <v>174</v>
      </c>
      <c r="H88" s="66">
        <f t="shared" si="12"/>
        <v>7</v>
      </c>
      <c r="I88" s="66">
        <f t="shared" si="12"/>
        <v>0</v>
      </c>
      <c r="J88" s="66">
        <f t="shared" si="12"/>
        <v>0</v>
      </c>
      <c r="K88" s="66">
        <f t="shared" si="12"/>
        <v>0</v>
      </c>
      <c r="L88" s="66">
        <f t="shared" si="12"/>
        <v>2</v>
      </c>
      <c r="M88" s="66">
        <f t="shared" si="12"/>
        <v>1</v>
      </c>
      <c r="N88" s="66">
        <f t="shared" si="12"/>
        <v>0</v>
      </c>
      <c r="O88" s="66">
        <f t="shared" si="12"/>
        <v>0</v>
      </c>
      <c r="P88" s="66">
        <f t="shared" si="12"/>
        <v>7</v>
      </c>
      <c r="Q88" s="66">
        <f t="shared" si="12"/>
        <v>4</v>
      </c>
      <c r="R88" s="66">
        <f t="shared" si="12"/>
        <v>0</v>
      </c>
      <c r="S88" s="66">
        <f t="shared" si="12"/>
        <v>0</v>
      </c>
      <c r="T88" s="66">
        <f t="shared" si="12"/>
        <v>0</v>
      </c>
      <c r="U88" s="66">
        <f t="shared" si="12"/>
        <v>1</v>
      </c>
      <c r="V88" s="66">
        <f t="shared" si="12"/>
        <v>2</v>
      </c>
      <c r="W88" s="66">
        <f t="shared" si="12"/>
        <v>1</v>
      </c>
      <c r="X88" s="66">
        <f t="shared" si="12"/>
        <v>1</v>
      </c>
      <c r="Y88" s="66">
        <f t="shared" si="12"/>
        <v>2</v>
      </c>
      <c r="Z88" s="66">
        <f t="shared" si="12"/>
        <v>0</v>
      </c>
      <c r="AA88" s="51">
        <f>+AA12+AA18+AA33+AA49+AA57+AA86</f>
        <v>211</v>
      </c>
      <c r="AB88" s="125">
        <f t="shared" ref="AB88:AG88" si="13">+AB12+AB18+AB33+AB49+AB57+AB86</f>
        <v>888</v>
      </c>
      <c r="AC88" s="125">
        <f t="shared" si="13"/>
        <v>99</v>
      </c>
      <c r="AD88" s="125">
        <f t="shared" si="13"/>
        <v>63</v>
      </c>
      <c r="AE88" s="125">
        <f t="shared" si="13"/>
        <v>61</v>
      </c>
      <c r="AF88" s="125">
        <f t="shared" si="13"/>
        <v>17</v>
      </c>
      <c r="AG88" s="125">
        <f t="shared" si="13"/>
        <v>94</v>
      </c>
    </row>
    <row r="89" spans="2:33" s="4" customFormat="1" x14ac:dyDescent="0.25">
      <c r="B89" s="3"/>
      <c r="C89" s="5"/>
      <c r="D89" s="5"/>
      <c r="E89" s="65" t="s">
        <v>98</v>
      </c>
      <c r="F89" s="66">
        <v>3</v>
      </c>
      <c r="G89" s="66">
        <v>3</v>
      </c>
      <c r="H89" s="66">
        <v>3</v>
      </c>
      <c r="I89" s="66">
        <v>3</v>
      </c>
      <c r="J89" s="66">
        <v>3</v>
      </c>
      <c r="K89" s="66">
        <v>3</v>
      </c>
      <c r="L89" s="66">
        <v>2</v>
      </c>
      <c r="M89" s="66">
        <v>2</v>
      </c>
      <c r="N89" s="66">
        <v>2</v>
      </c>
      <c r="O89" s="66">
        <v>1.5</v>
      </c>
      <c r="P89" s="67">
        <v>1.5</v>
      </c>
      <c r="Q89" s="67">
        <v>1.5</v>
      </c>
      <c r="R89" s="66">
        <v>1.5</v>
      </c>
      <c r="S89" s="66">
        <v>1.5</v>
      </c>
      <c r="T89" s="66">
        <v>1.5</v>
      </c>
      <c r="U89" s="66">
        <v>1</v>
      </c>
      <c r="V89" s="66">
        <v>1</v>
      </c>
      <c r="W89" s="66">
        <v>1</v>
      </c>
      <c r="X89" s="66">
        <v>1</v>
      </c>
      <c r="Y89" s="66">
        <v>1</v>
      </c>
      <c r="Z89" s="66">
        <v>1</v>
      </c>
      <c r="AA89" s="52"/>
    </row>
    <row r="90" spans="2:33" s="4" customFormat="1" ht="22.5" x14ac:dyDescent="0.25">
      <c r="B90" s="3"/>
      <c r="C90" s="5"/>
      <c r="D90" s="5"/>
      <c r="E90" s="65" t="s">
        <v>99</v>
      </c>
      <c r="F90" s="66">
        <f>F89*F88</f>
        <v>27</v>
      </c>
      <c r="G90" s="66">
        <f t="shared" ref="G90:Z90" si="14">G89*G88</f>
        <v>522</v>
      </c>
      <c r="H90" s="66">
        <f t="shared" si="14"/>
        <v>21</v>
      </c>
      <c r="I90" s="66">
        <f t="shared" si="14"/>
        <v>0</v>
      </c>
      <c r="J90" s="66">
        <f t="shared" si="14"/>
        <v>0</v>
      </c>
      <c r="K90" s="66">
        <f t="shared" si="14"/>
        <v>0</v>
      </c>
      <c r="L90" s="66">
        <f t="shared" si="14"/>
        <v>4</v>
      </c>
      <c r="M90" s="66">
        <f t="shared" si="14"/>
        <v>2</v>
      </c>
      <c r="N90" s="66">
        <f t="shared" si="14"/>
        <v>0</v>
      </c>
      <c r="O90" s="66">
        <f t="shared" si="14"/>
        <v>0</v>
      </c>
      <c r="P90" s="67">
        <f t="shared" si="14"/>
        <v>10.5</v>
      </c>
      <c r="Q90" s="67">
        <f t="shared" si="14"/>
        <v>6</v>
      </c>
      <c r="R90" s="67">
        <f t="shared" si="14"/>
        <v>0</v>
      </c>
      <c r="S90" s="67">
        <f t="shared" si="14"/>
        <v>0</v>
      </c>
      <c r="T90" s="67">
        <f t="shared" si="14"/>
        <v>0</v>
      </c>
      <c r="U90" s="66">
        <f t="shared" si="14"/>
        <v>1</v>
      </c>
      <c r="V90" s="66">
        <f t="shared" si="14"/>
        <v>2</v>
      </c>
      <c r="W90" s="66">
        <f t="shared" si="14"/>
        <v>1</v>
      </c>
      <c r="X90" s="66">
        <f t="shared" si="14"/>
        <v>1</v>
      </c>
      <c r="Y90" s="66">
        <f t="shared" si="14"/>
        <v>2</v>
      </c>
      <c r="Z90" s="66">
        <f t="shared" si="14"/>
        <v>0</v>
      </c>
      <c r="AA90" s="51"/>
    </row>
    <row r="91" spans="2:33" s="4" customFormat="1" ht="24" x14ac:dyDescent="0.25">
      <c r="B91" s="3"/>
      <c r="C91" s="5"/>
      <c r="D91" s="5"/>
      <c r="E91" s="65" t="s">
        <v>100</v>
      </c>
      <c r="F91" s="68">
        <v>3000</v>
      </c>
      <c r="G91" s="68">
        <f>$F$91</f>
        <v>3000</v>
      </c>
      <c r="H91" s="68">
        <f t="shared" ref="H91:Z91" si="15">$F$91</f>
        <v>3000</v>
      </c>
      <c r="I91" s="68">
        <f t="shared" si="15"/>
        <v>3000</v>
      </c>
      <c r="J91" s="68">
        <f t="shared" si="15"/>
        <v>3000</v>
      </c>
      <c r="K91" s="68">
        <f t="shared" si="15"/>
        <v>3000</v>
      </c>
      <c r="L91" s="68">
        <f t="shared" si="15"/>
        <v>3000</v>
      </c>
      <c r="M91" s="68">
        <f t="shared" si="15"/>
        <v>3000</v>
      </c>
      <c r="N91" s="68">
        <f t="shared" si="15"/>
        <v>3000</v>
      </c>
      <c r="O91" s="68">
        <f t="shared" si="15"/>
        <v>3000</v>
      </c>
      <c r="P91" s="68">
        <f t="shared" si="15"/>
        <v>3000</v>
      </c>
      <c r="Q91" s="68">
        <f t="shared" si="15"/>
        <v>3000</v>
      </c>
      <c r="R91" s="68">
        <f t="shared" si="15"/>
        <v>3000</v>
      </c>
      <c r="S91" s="68">
        <f t="shared" si="15"/>
        <v>3000</v>
      </c>
      <c r="T91" s="68">
        <f t="shared" si="15"/>
        <v>3000</v>
      </c>
      <c r="U91" s="68">
        <f t="shared" si="15"/>
        <v>3000</v>
      </c>
      <c r="V91" s="68">
        <f t="shared" si="15"/>
        <v>3000</v>
      </c>
      <c r="W91" s="68">
        <f t="shared" si="15"/>
        <v>3000</v>
      </c>
      <c r="X91" s="68">
        <f t="shared" si="15"/>
        <v>3000</v>
      </c>
      <c r="Y91" s="68">
        <f>$F$91</f>
        <v>3000</v>
      </c>
      <c r="Z91" s="68">
        <f t="shared" si="15"/>
        <v>3000</v>
      </c>
      <c r="AA91" s="6"/>
    </row>
    <row r="92" spans="2:33" s="4" customFormat="1" ht="24" x14ac:dyDescent="0.25">
      <c r="B92" s="3"/>
      <c r="C92" s="5"/>
      <c r="D92" s="5"/>
      <c r="E92" s="65" t="s">
        <v>101</v>
      </c>
      <c r="F92" s="68">
        <f>F91*F90</f>
        <v>81000</v>
      </c>
      <c r="G92" s="68">
        <f t="shared" ref="G92:Z92" si="16">G91*G90</f>
        <v>1566000</v>
      </c>
      <c r="H92" s="68">
        <f t="shared" si="16"/>
        <v>63000</v>
      </c>
      <c r="I92" s="68">
        <f t="shared" si="16"/>
        <v>0</v>
      </c>
      <c r="J92" s="68">
        <f t="shared" si="16"/>
        <v>0</v>
      </c>
      <c r="K92" s="68">
        <f t="shared" si="16"/>
        <v>0</v>
      </c>
      <c r="L92" s="68">
        <f t="shared" si="16"/>
        <v>12000</v>
      </c>
      <c r="M92" s="68">
        <f t="shared" si="16"/>
        <v>6000</v>
      </c>
      <c r="N92" s="68">
        <f t="shared" si="16"/>
        <v>0</v>
      </c>
      <c r="O92" s="68">
        <f t="shared" si="16"/>
        <v>0</v>
      </c>
      <c r="P92" s="68">
        <f t="shared" si="16"/>
        <v>31500</v>
      </c>
      <c r="Q92" s="68">
        <f t="shared" si="16"/>
        <v>18000</v>
      </c>
      <c r="R92" s="68">
        <f t="shared" si="16"/>
        <v>0</v>
      </c>
      <c r="S92" s="68">
        <f t="shared" si="16"/>
        <v>0</v>
      </c>
      <c r="T92" s="68">
        <f t="shared" si="16"/>
        <v>0</v>
      </c>
      <c r="U92" s="68">
        <f t="shared" si="16"/>
        <v>3000</v>
      </c>
      <c r="V92" s="68">
        <f t="shared" si="16"/>
        <v>6000</v>
      </c>
      <c r="W92" s="68">
        <f t="shared" si="16"/>
        <v>3000</v>
      </c>
      <c r="X92" s="68">
        <f t="shared" si="16"/>
        <v>3000</v>
      </c>
      <c r="Y92" s="68">
        <f t="shared" si="16"/>
        <v>6000</v>
      </c>
      <c r="Z92" s="68">
        <f t="shared" si="16"/>
        <v>0</v>
      </c>
      <c r="AA92" s="126"/>
    </row>
    <row r="93" spans="2:33" ht="24.75" customHeight="1" x14ac:dyDescent="0.25">
      <c r="F93" s="127"/>
      <c r="G93" s="127"/>
      <c r="H93" s="127"/>
      <c r="I93" s="127"/>
      <c r="J93" s="127"/>
      <c r="K93" s="127"/>
      <c r="L93" s="127"/>
      <c r="M93" s="127"/>
      <c r="O93" s="128" t="s">
        <v>207</v>
      </c>
    </row>
    <row r="94" spans="2:33" ht="16.5" x14ac:dyDescent="0.25">
      <c r="C94" s="12"/>
      <c r="D94" s="12"/>
      <c r="E94" s="129" t="s">
        <v>102</v>
      </c>
      <c r="F94" s="130">
        <f>((9.77*1750905)+(500*3))</f>
        <v>17107841.849999998</v>
      </c>
      <c r="G94" s="130">
        <f>((9.77*1750905)+(500*3))</f>
        <v>17107841.849999998</v>
      </c>
      <c r="H94" s="130">
        <f>((9.77*1750905)+(500*3))</f>
        <v>17107841.849999998</v>
      </c>
      <c r="I94" s="130">
        <f>(9.29*1423500+(500*3))</f>
        <v>13225814.999999998</v>
      </c>
      <c r="J94" s="130">
        <f>(9.29*1423500+(500*3))/30*20</f>
        <v>8817209.9999999981</v>
      </c>
      <c r="K94" s="130">
        <f>(9.29*1423500+(500*3))/30*24</f>
        <v>10580651.999999998</v>
      </c>
      <c r="L94" s="130">
        <f>(((9.77*1750905+(500*3))*47.59%)+((9.77*1750905+(500*3))*52.41%/11*3))</f>
        <v>10586954.64012</v>
      </c>
      <c r="M94" s="130">
        <f>(((9.77*1750905+(500*3))*47.59%)+((9.77*1750905+(500*3))*52.41%/11*3))/30*20</f>
        <v>7057969.7600799995</v>
      </c>
      <c r="N94" s="130">
        <f>(((9.29*1423500+(500*3))*55.97%)+((9.29*1423500+(500*3))*44.03%/9*1))/30*24</f>
        <v>6439619.9327999987</v>
      </c>
      <c r="O94" s="130">
        <f>((9.77*1750905+(500*3))*47.59%/13*12)</f>
        <v>7515343.3259215374</v>
      </c>
      <c r="P94" s="130">
        <f>((9.77*1750905+(500*3))*47.59%/13*12)/30*20</f>
        <v>5010228.8839476919</v>
      </c>
      <c r="Q94" s="130">
        <f>((9.77*1750905+(500*3))*47.59%/13*12)/30*24</f>
        <v>6012274.6607372295</v>
      </c>
      <c r="R94" s="130">
        <f>(((9.29*1423500+(500*3))*55.97%/15*3)+((9.29*1423500+(500*3))*44.03%/9*9))</f>
        <v>7303824.0755999992</v>
      </c>
      <c r="S94" s="130">
        <f>((((9.29*1423500+(500*3))*55.97%/15*3)+((9.29*1423500+(500*3))*44.03%/9*9))/30)*24</f>
        <v>5843059.2604799997</v>
      </c>
      <c r="T94" s="130">
        <f>(((9.29*1423500+(500*3))*55.97%/15*3)+((9.29*1423500+(500*3))*44.03%/9*9))</f>
        <v>7303824.0755999992</v>
      </c>
      <c r="U94" s="130">
        <f>((9.77*1750905+(500*3))*52.41%/11*8)</f>
        <v>6520887.20988</v>
      </c>
      <c r="V94" s="130">
        <f>((9.77*1750905+(500*3))*52.41%/11*8)</f>
        <v>6520887.20988</v>
      </c>
      <c r="W94" s="130">
        <f>(9.77*1750905+(500*3))*52.41%/11*8/30*20</f>
        <v>4347258.13992</v>
      </c>
      <c r="X94" s="130">
        <f>(9.77*1750905+(500*3))*47.59%/13*8/30*24</f>
        <v>4008183.1071581533</v>
      </c>
      <c r="Y94" s="130">
        <f>(9.77*1750905+(500*3))*47.59%/13*8/30*20</f>
        <v>3340152.5892984611</v>
      </c>
      <c r="Z94" s="130">
        <f>((9.77*1750905+(500*3))*47.59%/13*8)</f>
        <v>5010228.8839476919</v>
      </c>
      <c r="AB94" s="130">
        <v>11227</v>
      </c>
      <c r="AC94" s="130">
        <v>43635</v>
      </c>
      <c r="AD94" s="130">
        <v>55898</v>
      </c>
      <c r="AE94" s="130">
        <v>40588</v>
      </c>
      <c r="AF94" s="130">
        <v>127990</v>
      </c>
      <c r="AG94" s="130">
        <v>43069</v>
      </c>
    </row>
    <row r="95" spans="2:33" ht="16.5" x14ac:dyDescent="0.25">
      <c r="C95" s="12"/>
      <c r="D95" s="12"/>
      <c r="E95" s="129" t="s">
        <v>103</v>
      </c>
      <c r="F95" s="130">
        <f>+F94*0.1</f>
        <v>1710784.1849999998</v>
      </c>
      <c r="G95" s="130">
        <f>+G94*0.08</f>
        <v>1368627.3479999998</v>
      </c>
      <c r="H95" s="130">
        <f t="shared" ref="H95:Z95" si="17">+H94*0.08</f>
        <v>1368627.3479999998</v>
      </c>
      <c r="I95" s="130">
        <f>+I94*0.11</f>
        <v>1454839.65</v>
      </c>
      <c r="J95" s="130">
        <f t="shared" si="17"/>
        <v>705376.79999999981</v>
      </c>
      <c r="K95" s="130">
        <f t="shared" si="17"/>
        <v>846452.15999999992</v>
      </c>
      <c r="L95" s="130">
        <f t="shared" si="17"/>
        <v>846956.37120960001</v>
      </c>
      <c r="M95" s="130">
        <f t="shared" si="17"/>
        <v>564637.58080639993</v>
      </c>
      <c r="N95" s="130">
        <f t="shared" si="17"/>
        <v>515169.5946239999</v>
      </c>
      <c r="O95" s="130">
        <f t="shared" si="17"/>
        <v>601227.46607372304</v>
      </c>
      <c r="P95" s="130">
        <f t="shared" si="17"/>
        <v>400818.31071581534</v>
      </c>
      <c r="Q95" s="130">
        <f t="shared" si="17"/>
        <v>480981.97285897838</v>
      </c>
      <c r="R95" s="130">
        <f t="shared" si="17"/>
        <v>584305.92604799999</v>
      </c>
      <c r="S95" s="130">
        <f t="shared" si="17"/>
        <v>467444.74083839997</v>
      </c>
      <c r="T95" s="130">
        <f>+T94*0.1</f>
        <v>730382.40755999996</v>
      </c>
      <c r="U95" s="130">
        <f>+U94*0.1</f>
        <v>652088.72098800004</v>
      </c>
      <c r="V95" s="130">
        <f t="shared" si="17"/>
        <v>521670.97679039999</v>
      </c>
      <c r="W95" s="130">
        <f t="shared" si="17"/>
        <v>347780.65119360003</v>
      </c>
      <c r="X95" s="130">
        <f t="shared" si="17"/>
        <v>320654.64857265225</v>
      </c>
      <c r="Y95" s="130">
        <f t="shared" si="17"/>
        <v>267212.20714387688</v>
      </c>
      <c r="Z95" s="130">
        <f t="shared" si="17"/>
        <v>400818.31071581534</v>
      </c>
      <c r="AB95" s="130">
        <v>0</v>
      </c>
      <c r="AC95" s="130">
        <v>0</v>
      </c>
      <c r="AD95" s="130">
        <v>0</v>
      </c>
      <c r="AE95" s="130">
        <v>0</v>
      </c>
      <c r="AF95" s="130">
        <v>0</v>
      </c>
      <c r="AG95" s="130">
        <v>0</v>
      </c>
    </row>
    <row r="96" spans="2:33" ht="16.5" x14ac:dyDescent="0.25">
      <c r="C96" s="12"/>
      <c r="D96" s="12"/>
      <c r="E96" s="129" t="s">
        <v>104</v>
      </c>
      <c r="F96" s="130">
        <f>+(F94+F95)*0.019</f>
        <v>357553.89466499991</v>
      </c>
      <c r="G96" s="130">
        <f t="shared" ref="G96:Z96" si="18">+(G94+G95)*0.019</f>
        <v>351052.91476199997</v>
      </c>
      <c r="H96" s="130">
        <f t="shared" si="18"/>
        <v>351052.91476199997</v>
      </c>
      <c r="I96" s="130">
        <f t="shared" si="18"/>
        <v>278932.43834999995</v>
      </c>
      <c r="J96" s="130">
        <f t="shared" si="18"/>
        <v>180929.14919999993</v>
      </c>
      <c r="K96" s="130">
        <f t="shared" si="18"/>
        <v>217114.97903999998</v>
      </c>
      <c r="L96" s="130">
        <f>+(L94+L95)*0.019</f>
        <v>217244.30921526236</v>
      </c>
      <c r="M96" s="130">
        <f t="shared" si="18"/>
        <v>144829.53947684157</v>
      </c>
      <c r="N96" s="130">
        <f t="shared" si="18"/>
        <v>132141.00102105597</v>
      </c>
      <c r="O96" s="130">
        <f t="shared" si="18"/>
        <v>154214.84504790994</v>
      </c>
      <c r="P96" s="130">
        <f t="shared" si="18"/>
        <v>102809.89669860662</v>
      </c>
      <c r="Q96" s="130">
        <f t="shared" si="18"/>
        <v>123371.87603832794</v>
      </c>
      <c r="R96" s="130">
        <f t="shared" si="18"/>
        <v>149874.470031312</v>
      </c>
      <c r="S96" s="130">
        <f t="shared" si="18"/>
        <v>119899.5760250496</v>
      </c>
      <c r="T96" s="130">
        <f t="shared" si="18"/>
        <v>152649.92318003997</v>
      </c>
      <c r="U96" s="130">
        <f t="shared" si="18"/>
        <v>136286.542686492</v>
      </c>
      <c r="V96" s="130">
        <f t="shared" si="18"/>
        <v>133808.60554673761</v>
      </c>
      <c r="W96" s="130">
        <f t="shared" si="18"/>
        <v>89205.737031158395</v>
      </c>
      <c r="X96" s="130">
        <f t="shared" si="18"/>
        <v>82247.917358885315</v>
      </c>
      <c r="Y96" s="130">
        <f t="shared" si="18"/>
        <v>68539.93113240441</v>
      </c>
      <c r="Z96" s="130">
        <f t="shared" si="18"/>
        <v>102809.89669860662</v>
      </c>
      <c r="AB96" s="130">
        <f>+AB94*0.19</f>
        <v>2133.13</v>
      </c>
      <c r="AC96" s="130">
        <f t="shared" ref="AC96:AG96" si="19">+AC94*0.19</f>
        <v>8290.65</v>
      </c>
      <c r="AD96" s="130">
        <f t="shared" si="19"/>
        <v>10620.62</v>
      </c>
      <c r="AE96" s="130">
        <f t="shared" si="19"/>
        <v>7711.72</v>
      </c>
      <c r="AF96" s="130">
        <f t="shared" si="19"/>
        <v>24318.1</v>
      </c>
      <c r="AG96" s="130">
        <f t="shared" si="19"/>
        <v>8183.11</v>
      </c>
    </row>
    <row r="97" spans="2:33" ht="16.5" x14ac:dyDescent="0.25">
      <c r="C97" s="12"/>
      <c r="D97" s="12"/>
      <c r="E97" s="131" t="s">
        <v>105</v>
      </c>
      <c r="F97" s="132">
        <f>+F94+F95+F96</f>
        <v>19176179.929664996</v>
      </c>
      <c r="G97" s="132">
        <f>+G94+G95+G96</f>
        <v>18827522.112762</v>
      </c>
      <c r="H97" s="132">
        <f t="shared" ref="H97:Z97" si="20">+H94+H95+H96</f>
        <v>18827522.112762</v>
      </c>
      <c r="I97" s="132">
        <f t="shared" si="20"/>
        <v>14959587.088349998</v>
      </c>
      <c r="J97" s="132">
        <f t="shared" si="20"/>
        <v>9703515.9491999969</v>
      </c>
      <c r="K97" s="132">
        <f t="shared" si="20"/>
        <v>11644219.139039999</v>
      </c>
      <c r="L97" s="132">
        <f>+L94+L95+L96</f>
        <v>11651155.320544861</v>
      </c>
      <c r="M97" s="132">
        <f>+M94+M95+M96</f>
        <v>7767436.8803632408</v>
      </c>
      <c r="N97" s="132">
        <f t="shared" si="20"/>
        <v>7086930.5284450538</v>
      </c>
      <c r="O97" s="132">
        <f>+O94+O95+O96</f>
        <v>8270785.6370431706</v>
      </c>
      <c r="P97" s="132">
        <f t="shared" si="20"/>
        <v>5513857.0913621131</v>
      </c>
      <c r="Q97" s="132">
        <f t="shared" si="20"/>
        <v>6616628.5096345358</v>
      </c>
      <c r="R97" s="132">
        <f t="shared" si="20"/>
        <v>8038004.4716793112</v>
      </c>
      <c r="S97" s="132">
        <f t="shared" si="20"/>
        <v>6430403.577343449</v>
      </c>
      <c r="T97" s="132">
        <f t="shared" si="20"/>
        <v>8186856.4063400393</v>
      </c>
      <c r="U97" s="132">
        <f t="shared" si="20"/>
        <v>7309262.473554492</v>
      </c>
      <c r="V97" s="132">
        <f t="shared" si="20"/>
        <v>7176366.7922171382</v>
      </c>
      <c r="W97" s="132">
        <f t="shared" si="20"/>
        <v>4784244.5281447582</v>
      </c>
      <c r="X97" s="132">
        <f t="shared" si="20"/>
        <v>4411085.6730896914</v>
      </c>
      <c r="Y97" s="132">
        <f t="shared" si="20"/>
        <v>3675904.7275747424</v>
      </c>
      <c r="Z97" s="132">
        <f t="shared" si="20"/>
        <v>5513857.0913621131</v>
      </c>
      <c r="AA97" s="10"/>
      <c r="AB97" s="133">
        <f>+AB94+AB96</f>
        <v>13360.130000000001</v>
      </c>
      <c r="AC97" s="133">
        <f t="shared" ref="AC97:AG97" si="21">+AC94+AC96</f>
        <v>51925.65</v>
      </c>
      <c r="AD97" s="133">
        <f t="shared" si="21"/>
        <v>66518.62</v>
      </c>
      <c r="AE97" s="133">
        <f t="shared" si="21"/>
        <v>48299.72</v>
      </c>
      <c r="AF97" s="133">
        <f t="shared" si="21"/>
        <v>152308.1</v>
      </c>
      <c r="AG97" s="133">
        <f t="shared" si="21"/>
        <v>51252.11</v>
      </c>
    </row>
    <row r="98" spans="2:33" ht="16.5" x14ac:dyDescent="0.25">
      <c r="C98" s="12"/>
      <c r="D98" s="12"/>
      <c r="E98" s="113"/>
      <c r="F98" s="114"/>
      <c r="G98" s="114"/>
      <c r="H98" s="114"/>
      <c r="I98" s="114"/>
      <c r="J98" s="114"/>
      <c r="K98" s="114"/>
      <c r="L98" s="114"/>
      <c r="M98" s="114"/>
      <c r="N98" s="114"/>
      <c r="O98" s="114"/>
      <c r="P98" s="114"/>
      <c r="Q98" s="114"/>
      <c r="R98" s="114"/>
      <c r="S98" s="114"/>
      <c r="T98" s="114"/>
      <c r="U98" s="114"/>
      <c r="V98" s="114"/>
      <c r="W98" s="114"/>
      <c r="X98" s="114"/>
      <c r="Y98" s="114"/>
      <c r="Z98" s="114"/>
      <c r="AB98" s="115"/>
      <c r="AC98" s="115"/>
      <c r="AD98" s="115"/>
      <c r="AE98" s="115"/>
      <c r="AF98" s="115"/>
      <c r="AG98" s="115"/>
    </row>
    <row r="99" spans="2:33" ht="16.5" x14ac:dyDescent="0.25">
      <c r="C99" s="12"/>
      <c r="D99" s="12"/>
      <c r="E99" s="113"/>
      <c r="F99" s="114"/>
      <c r="G99" s="114"/>
      <c r="H99" s="114"/>
      <c r="I99" s="114"/>
      <c r="J99" s="114"/>
      <c r="K99" s="114"/>
      <c r="L99" s="114"/>
      <c r="M99" s="114"/>
      <c r="N99" s="114"/>
      <c r="O99" s="114"/>
      <c r="P99" s="114"/>
      <c r="Q99" s="114"/>
      <c r="R99" s="114"/>
      <c r="S99" s="114"/>
      <c r="T99" s="114"/>
      <c r="U99" s="114"/>
      <c r="V99" s="114"/>
      <c r="W99" s="114"/>
      <c r="X99" s="114"/>
      <c r="Y99" s="114"/>
      <c r="Z99" s="114"/>
      <c r="AB99" s="115"/>
      <c r="AC99" s="115"/>
      <c r="AD99" s="115"/>
      <c r="AE99" s="115"/>
      <c r="AF99" s="115"/>
      <c r="AG99" s="115"/>
    </row>
    <row r="101" spans="2:33" ht="16.5" x14ac:dyDescent="0.25">
      <c r="C101" s="12"/>
      <c r="D101" s="12"/>
      <c r="E101" s="134" t="s">
        <v>106</v>
      </c>
      <c r="F101" s="135">
        <f>(F88)*(F$94+F$95)</f>
        <v>169367634.31499997</v>
      </c>
      <c r="G101" s="135">
        <f>+(G88)*(G$94+G$95)</f>
        <v>3214905640.4519997</v>
      </c>
      <c r="H101" s="135">
        <f>+H88*(H$94+H$95)</f>
        <v>129335284.38599999</v>
      </c>
      <c r="I101" s="135">
        <f t="shared" ref="I101:Z101" si="22">+I88*(I$94+I$95)</f>
        <v>0</v>
      </c>
      <c r="J101" s="135">
        <f t="shared" si="22"/>
        <v>0</v>
      </c>
      <c r="K101" s="135">
        <f t="shared" si="22"/>
        <v>0</v>
      </c>
      <c r="L101" s="135">
        <f t="shared" si="22"/>
        <v>22867822.022659197</v>
      </c>
      <c r="M101" s="135">
        <f>+M88*(M$94+M$95)</f>
        <v>7622607.3408863991</v>
      </c>
      <c r="N101" s="135">
        <f t="shared" si="22"/>
        <v>0</v>
      </c>
      <c r="O101" s="135">
        <f t="shared" si="22"/>
        <v>0</v>
      </c>
      <c r="P101" s="135">
        <f t="shared" si="22"/>
        <v>37877330.362644546</v>
      </c>
      <c r="Q101" s="135">
        <f t="shared" si="22"/>
        <v>25973026.534384832</v>
      </c>
      <c r="R101" s="135">
        <f t="shared" si="22"/>
        <v>0</v>
      </c>
      <c r="S101" s="135">
        <f t="shared" si="22"/>
        <v>0</v>
      </c>
      <c r="T101" s="135">
        <f t="shared" si="22"/>
        <v>0</v>
      </c>
      <c r="U101" s="135">
        <f t="shared" si="22"/>
        <v>7172975.9308679998</v>
      </c>
      <c r="V101" s="135">
        <f t="shared" si="22"/>
        <v>14085116.3733408</v>
      </c>
      <c r="W101" s="135">
        <f t="shared" si="22"/>
        <v>4695038.7911136001</v>
      </c>
      <c r="X101" s="135">
        <f t="shared" si="22"/>
        <v>4328837.7557308059</v>
      </c>
      <c r="Y101" s="135">
        <f t="shared" si="22"/>
        <v>7214729.5928846756</v>
      </c>
      <c r="Z101" s="135">
        <f t="shared" si="22"/>
        <v>0</v>
      </c>
      <c r="AA101" s="10"/>
      <c r="AB101" s="136">
        <f>+AB88*(AB94+AB95)</f>
        <v>9969576</v>
      </c>
      <c r="AC101" s="136">
        <f t="shared" ref="AC101:AG101" si="23">+AC88*(AC94+AC95)</f>
        <v>4319865</v>
      </c>
      <c r="AD101" s="136">
        <f t="shared" si="23"/>
        <v>3521574</v>
      </c>
      <c r="AE101" s="136">
        <f t="shared" si="23"/>
        <v>2475868</v>
      </c>
      <c r="AF101" s="136">
        <f t="shared" si="23"/>
        <v>2175830</v>
      </c>
      <c r="AG101" s="136">
        <f t="shared" si="23"/>
        <v>4048486</v>
      </c>
    </row>
    <row r="102" spans="2:33" s="12" customFormat="1" ht="16.5" x14ac:dyDescent="0.25">
      <c r="E102" s="134" t="s">
        <v>107</v>
      </c>
      <c r="F102" s="135">
        <f>(F$96*F88)</f>
        <v>3217985.0519849993</v>
      </c>
      <c r="G102" s="135">
        <f>(G$96)*(G88)</f>
        <v>61083207.168587998</v>
      </c>
      <c r="H102" s="135">
        <f t="shared" ref="H102:Z102" si="24">(H$96*H88)</f>
        <v>2457370.4033339997</v>
      </c>
      <c r="I102" s="135">
        <f t="shared" si="24"/>
        <v>0</v>
      </c>
      <c r="J102" s="135">
        <f t="shared" si="24"/>
        <v>0</v>
      </c>
      <c r="K102" s="135">
        <f t="shared" si="24"/>
        <v>0</v>
      </c>
      <c r="L102" s="135">
        <f t="shared" si="24"/>
        <v>434488.61843052472</v>
      </c>
      <c r="M102" s="135">
        <f t="shared" si="24"/>
        <v>144829.53947684157</v>
      </c>
      <c r="N102" s="135">
        <f t="shared" si="24"/>
        <v>0</v>
      </c>
      <c r="O102" s="135">
        <f t="shared" si="24"/>
        <v>0</v>
      </c>
      <c r="P102" s="135">
        <f t="shared" si="24"/>
        <v>719669.27689024631</v>
      </c>
      <c r="Q102" s="135">
        <f t="shared" si="24"/>
        <v>493487.50415331178</v>
      </c>
      <c r="R102" s="135">
        <f t="shared" si="24"/>
        <v>0</v>
      </c>
      <c r="S102" s="135">
        <f t="shared" si="24"/>
        <v>0</v>
      </c>
      <c r="T102" s="135">
        <f t="shared" si="24"/>
        <v>0</v>
      </c>
      <c r="U102" s="135">
        <f t="shared" si="24"/>
        <v>136286.542686492</v>
      </c>
      <c r="V102" s="135">
        <f t="shared" si="24"/>
        <v>267617.21109347523</v>
      </c>
      <c r="W102" s="135">
        <f t="shared" si="24"/>
        <v>89205.737031158395</v>
      </c>
      <c r="X102" s="135">
        <f t="shared" si="24"/>
        <v>82247.917358885315</v>
      </c>
      <c r="Y102" s="135">
        <f t="shared" si="24"/>
        <v>137079.86226480882</v>
      </c>
      <c r="Z102" s="135">
        <f t="shared" si="24"/>
        <v>0</v>
      </c>
      <c r="AA102" s="11"/>
      <c r="AB102" s="136">
        <f t="shared" ref="AB102:AG102" si="25">+ROUND(((AB12+AB18+AB33+AB49+AB57+AB86)*AB96),0)</f>
        <v>1894219</v>
      </c>
      <c r="AC102" s="136">
        <f t="shared" si="25"/>
        <v>820774</v>
      </c>
      <c r="AD102" s="136">
        <f t="shared" si="25"/>
        <v>669099</v>
      </c>
      <c r="AE102" s="136">
        <f t="shared" si="25"/>
        <v>470415</v>
      </c>
      <c r="AF102" s="136">
        <f t="shared" si="25"/>
        <v>413408</v>
      </c>
      <c r="AG102" s="136">
        <f t="shared" si="25"/>
        <v>769212</v>
      </c>
    </row>
    <row r="103" spans="2:33" s="12" customFormat="1" ht="16.5" x14ac:dyDescent="0.25">
      <c r="B103" s="46"/>
      <c r="C103" s="46"/>
      <c r="D103" s="46"/>
      <c r="E103" s="137" t="s">
        <v>200</v>
      </c>
      <c r="F103" s="133">
        <f>+F101+F102</f>
        <v>172585619.36698496</v>
      </c>
      <c r="G103" s="133">
        <f>+G101+G102</f>
        <v>3275988847.6205878</v>
      </c>
      <c r="H103" s="133">
        <f t="shared" ref="H103:Y103" si="26">+H101+H102</f>
        <v>131792654.789334</v>
      </c>
      <c r="I103" s="133">
        <f t="shared" si="26"/>
        <v>0</v>
      </c>
      <c r="J103" s="133">
        <f t="shared" si="26"/>
        <v>0</v>
      </c>
      <c r="K103" s="133">
        <f t="shared" si="26"/>
        <v>0</v>
      </c>
      <c r="L103" s="133">
        <f t="shared" si="26"/>
        <v>23302310.641089723</v>
      </c>
      <c r="M103" s="133">
        <f>+M101+M102</f>
        <v>7767436.8803632408</v>
      </c>
      <c r="N103" s="133">
        <f t="shared" si="26"/>
        <v>0</v>
      </c>
      <c r="O103" s="133">
        <f t="shared" si="26"/>
        <v>0</v>
      </c>
      <c r="P103" s="133">
        <f t="shared" si="26"/>
        <v>38596999.639534794</v>
      </c>
      <c r="Q103" s="133">
        <f t="shared" si="26"/>
        <v>26466514.038538143</v>
      </c>
      <c r="R103" s="133">
        <f t="shared" si="26"/>
        <v>0</v>
      </c>
      <c r="S103" s="133">
        <f t="shared" si="26"/>
        <v>0</v>
      </c>
      <c r="T103" s="133">
        <f t="shared" si="26"/>
        <v>0</v>
      </c>
      <c r="U103" s="133">
        <f t="shared" si="26"/>
        <v>7309262.473554492</v>
      </c>
      <c r="V103" s="133">
        <f t="shared" si="26"/>
        <v>14352733.584434276</v>
      </c>
      <c r="W103" s="133">
        <f t="shared" si="26"/>
        <v>4784244.5281447582</v>
      </c>
      <c r="X103" s="133">
        <f t="shared" si="26"/>
        <v>4411085.6730896914</v>
      </c>
      <c r="Y103" s="133">
        <f t="shared" si="26"/>
        <v>7351809.4551494848</v>
      </c>
      <c r="Z103" s="133">
        <f>+Z101+Z102</f>
        <v>0</v>
      </c>
      <c r="AA103" s="11"/>
      <c r="AB103" s="138">
        <f>+AB101+AB102</f>
        <v>11863795</v>
      </c>
      <c r="AC103" s="138">
        <f t="shared" ref="AC103:AG103" si="27">+AC101+AC102</f>
        <v>5140639</v>
      </c>
      <c r="AD103" s="138">
        <f t="shared" si="27"/>
        <v>4190673</v>
      </c>
      <c r="AE103" s="138">
        <f t="shared" si="27"/>
        <v>2946283</v>
      </c>
      <c r="AF103" s="138">
        <f t="shared" si="27"/>
        <v>2589238</v>
      </c>
      <c r="AG103" s="138">
        <f t="shared" si="27"/>
        <v>4817698</v>
      </c>
    </row>
    <row r="104" spans="2:33" x14ac:dyDescent="0.25">
      <c r="D104" s="13"/>
      <c r="E104" s="14"/>
      <c r="F104" s="15"/>
      <c r="G104" s="16"/>
      <c r="H104" s="16"/>
      <c r="I104" s="16"/>
      <c r="J104" s="16"/>
      <c r="K104" s="16"/>
      <c r="L104" s="16"/>
      <c r="M104" s="16"/>
      <c r="O104" s="139"/>
      <c r="W104" s="140"/>
      <c r="Y104" s="71"/>
      <c r="Z104" s="72"/>
      <c r="AA104" s="19"/>
      <c r="AB104" s="71"/>
      <c r="AC104" s="72"/>
    </row>
    <row r="105" spans="2:33" ht="31.5" x14ac:dyDescent="0.25">
      <c r="C105" s="141" t="s">
        <v>108</v>
      </c>
      <c r="D105" s="141" t="s">
        <v>109</v>
      </c>
      <c r="G105" s="142"/>
      <c r="AA105" s="143"/>
    </row>
    <row r="106" spans="2:33" ht="18" customHeight="1" x14ac:dyDescent="0.25">
      <c r="C106" s="63">
        <f>+AA11+AA17+AA32+AA48+AA56+AA85</f>
        <v>3714709518.6908054</v>
      </c>
      <c r="D106" s="63">
        <f>SUM(AB103:AG103)</f>
        <v>31548326</v>
      </c>
      <c r="H106" s="142"/>
      <c r="AA106" s="144"/>
    </row>
    <row r="108" spans="2:33" ht="36.75" customHeight="1" x14ac:dyDescent="0.25">
      <c r="C108" s="145" t="s">
        <v>0</v>
      </c>
      <c r="D108" s="145" t="s">
        <v>202</v>
      </c>
      <c r="E108" s="145" t="s">
        <v>111</v>
      </c>
      <c r="F108" s="145" t="s">
        <v>204</v>
      </c>
      <c r="G108" s="145" t="s">
        <v>112</v>
      </c>
      <c r="H108" s="142">
        <f>+H105*H106</f>
        <v>0</v>
      </c>
      <c r="K108" s="16"/>
      <c r="L108" s="16"/>
      <c r="Y108" s="7"/>
    </row>
    <row r="109" spans="2:33" ht="18.75" customHeight="1" x14ac:dyDescent="0.25">
      <c r="C109" s="59" t="s">
        <v>113</v>
      </c>
      <c r="D109" s="146">
        <f>(AA11/30)*30</f>
        <v>324478961.59004366</v>
      </c>
      <c r="E109" s="146">
        <f>+(((AB12*AB97)+(AC12*AC97)+(AD12*AD97)+(AE12*AE97)+(AF12*AF97)+(AG12*AG97)))/((30))*30</f>
        <v>2617733.4400000004</v>
      </c>
      <c r="F109" s="147">
        <f t="shared" ref="F109:F114" si="28">+E109*0.051</f>
        <v>133504.40544</v>
      </c>
      <c r="G109" s="146">
        <f t="shared" ref="G109:G114" si="29">SUM(D109:F109)</f>
        <v>327230199.43548363</v>
      </c>
      <c r="K109" s="148"/>
      <c r="L109" s="16"/>
      <c r="Y109" s="7"/>
    </row>
    <row r="110" spans="2:33" ht="18.75" customHeight="1" x14ac:dyDescent="0.25">
      <c r="C110" s="59" t="s">
        <v>42</v>
      </c>
      <c r="D110" s="146">
        <f>(AA17/30)*30</f>
        <v>414427109.96872008</v>
      </c>
      <c r="E110" s="146">
        <f>+(((AB18*AB97)+(AC18*AC97)+(AD18*AD97)+(AE18*AE97)+(AF18*AF97)+(AG18*AG97)))/((30))*30</f>
        <v>4847067.54</v>
      </c>
      <c r="F110" s="147">
        <f t="shared" si="28"/>
        <v>247200.44454</v>
      </c>
      <c r="G110" s="146">
        <f t="shared" si="29"/>
        <v>419521377.95326012</v>
      </c>
      <c r="K110" s="148"/>
      <c r="L110" s="149"/>
      <c r="Y110" s="7"/>
    </row>
    <row r="111" spans="2:33" ht="18.75" customHeight="1" x14ac:dyDescent="0.25">
      <c r="C111" s="59" t="s">
        <v>50</v>
      </c>
      <c r="D111" s="146">
        <f>(AA32/30)*30</f>
        <v>491097676.63053614</v>
      </c>
      <c r="E111" s="146">
        <f>+(((AB33*AB97)+(AC33*AC97)+(AD33*AD97)+(AE33*AE97)+(AF33*AF97)+(AG33*AG97)))/((30))*30</f>
        <v>4207146.2300000004</v>
      </c>
      <c r="F111" s="147">
        <f t="shared" si="28"/>
        <v>214564.45772999999</v>
      </c>
      <c r="G111" s="146">
        <f t="shared" si="29"/>
        <v>495519387.31826615</v>
      </c>
      <c r="K111" s="148"/>
      <c r="L111" s="149"/>
      <c r="Y111" s="7"/>
    </row>
    <row r="112" spans="2:33" ht="18.75" customHeight="1" x14ac:dyDescent="0.25">
      <c r="C112" s="59" t="s">
        <v>114</v>
      </c>
      <c r="D112" s="146">
        <f>(AA48/30)*30</f>
        <v>587248682.22106588</v>
      </c>
      <c r="E112" s="146">
        <f>+(((AB49*AB97)+(AC49*AC97)+(AD49*AD97)+(AE49*AE97)+(AF49*AF97)+(AG49*AG97)))/((30))*30</f>
        <v>3706635.8</v>
      </c>
      <c r="F112" s="147">
        <f t="shared" si="28"/>
        <v>189038.42579999997</v>
      </c>
      <c r="G112" s="146">
        <f t="shared" si="29"/>
        <v>591144356.4468658</v>
      </c>
      <c r="K112" s="148"/>
      <c r="L112" s="16"/>
      <c r="Y112" s="7"/>
    </row>
    <row r="113" spans="3:25" ht="18.75" customHeight="1" x14ac:dyDescent="0.25">
      <c r="C113" s="59" t="s">
        <v>75</v>
      </c>
      <c r="D113" s="146">
        <f>(AA56/30)*30</f>
        <v>600194756.76970828</v>
      </c>
      <c r="E113" s="146">
        <f>+(((AB57*AB97)+(AC57*AC97)+(AD57*AD97)+(AE57*AE97)+(AF57*AF97)+(AG57*AG97)))/((30))*30</f>
        <v>3102263.3600000003</v>
      </c>
      <c r="F113" s="147">
        <f t="shared" si="28"/>
        <v>158215.43136000002</v>
      </c>
      <c r="G113" s="146">
        <f t="shared" si="29"/>
        <v>603455235.5610683</v>
      </c>
      <c r="K113" s="148"/>
      <c r="L113" s="16"/>
      <c r="Y113" s="7"/>
    </row>
    <row r="114" spans="3:25" ht="18.75" customHeight="1" x14ac:dyDescent="0.25">
      <c r="C114" s="59" t="s">
        <v>78</v>
      </c>
      <c r="D114" s="146">
        <f>(AA85/30)*30</f>
        <v>1297262331.5107317</v>
      </c>
      <c r="E114" s="146">
        <f>+(((AB86*AB97)+(AC86*AC97)+(AD86*AD97)+(AE86*AE97)+(AF86*AF97)+(AG86*AG97)))/((30))*30</f>
        <v>13067480.440000001</v>
      </c>
      <c r="F114" s="147">
        <f t="shared" si="28"/>
        <v>666441.50244000007</v>
      </c>
      <c r="G114" s="146">
        <f t="shared" si="29"/>
        <v>1310996253.4531717</v>
      </c>
      <c r="K114" s="148"/>
      <c r="L114" s="16"/>
      <c r="Y114" s="7"/>
    </row>
    <row r="115" spans="3:25" ht="18.75" customHeight="1" x14ac:dyDescent="0.25">
      <c r="C115" s="64" t="s">
        <v>115</v>
      </c>
      <c r="D115" s="150">
        <f>SUM(D109:D114)</f>
        <v>3714709518.6908054</v>
      </c>
      <c r="E115" s="150">
        <f>SUM(E109:E114)</f>
        <v>31548326.810000002</v>
      </c>
      <c r="F115" s="150">
        <f>SUM(F109:F114)</f>
        <v>1608964.6673099999</v>
      </c>
      <c r="G115" s="150">
        <f>SUM(G109:G114)</f>
        <v>3747866810.1681156</v>
      </c>
      <c r="K115" s="16"/>
      <c r="L115" s="16"/>
      <c r="Y115" s="7"/>
    </row>
    <row r="117" spans="3:25" x14ac:dyDescent="0.25">
      <c r="D117" s="151"/>
    </row>
    <row r="118" spans="3:25" x14ac:dyDescent="0.25">
      <c r="D118" s="151"/>
      <c r="G118" s="142"/>
    </row>
    <row r="119" spans="3:25" x14ac:dyDescent="0.25">
      <c r="D119" s="151"/>
      <c r="E119" s="151"/>
      <c r="M119" s="142"/>
      <c r="Y119" s="128">
        <f>+D119+E119</f>
        <v>0</v>
      </c>
    </row>
    <row r="120" spans="3:25" x14ac:dyDescent="0.25">
      <c r="D120" s="152"/>
      <c r="E120" s="152"/>
      <c r="Y120" s="128">
        <f>+D120+E120</f>
        <v>0</v>
      </c>
    </row>
    <row r="121" spans="3:25" x14ac:dyDescent="0.25">
      <c r="D121" s="106"/>
      <c r="E121" s="152"/>
    </row>
    <row r="122" spans="3:25" x14ac:dyDescent="0.25">
      <c r="D122" s="106"/>
      <c r="E122" s="151"/>
    </row>
    <row r="123" spans="3:25" x14ac:dyDescent="0.25">
      <c r="D123" s="151"/>
      <c r="E123" s="151"/>
    </row>
    <row r="124" spans="3:25" x14ac:dyDescent="0.25">
      <c r="D124" s="152"/>
      <c r="E124" s="152"/>
    </row>
    <row r="125" spans="3:25" x14ac:dyDescent="0.25">
      <c r="D125" s="151"/>
      <c r="E125" s="151"/>
    </row>
    <row r="126" spans="3:25" x14ac:dyDescent="0.25">
      <c r="D126" s="151"/>
      <c r="E126" s="151"/>
    </row>
    <row r="127" spans="3:25" x14ac:dyDescent="0.25">
      <c r="D127" s="106"/>
      <c r="E127" s="106"/>
      <c r="Y127" s="128">
        <f>+D127+E127</f>
        <v>0</v>
      </c>
    </row>
  </sheetData>
  <mergeCells count="6">
    <mergeCell ref="B86:E86"/>
    <mergeCell ref="B12:E12"/>
    <mergeCell ref="B18:E18"/>
    <mergeCell ref="B33:E33"/>
    <mergeCell ref="B49:E49"/>
    <mergeCell ref="B57:E57"/>
  </mergeCells>
  <pageMargins left="0.7" right="0.7" top="0.75" bottom="0.75" header="0.3" footer="0.3"/>
  <ignoredErrors>
    <ignoredError sqref="G102 G91:W91" formula="1"/>
  </ignoredErrors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J127"/>
  <sheetViews>
    <sheetView zoomScale="90" zoomScaleNormal="90" workbookViewId="0">
      <pane ySplit="1" topLeftCell="A98" activePane="bottomLeft" state="frozen"/>
      <selection activeCell="E1" sqref="E1"/>
      <selection pane="bottomLeft" activeCell="G118" sqref="G118:G119"/>
    </sheetView>
  </sheetViews>
  <sheetFormatPr baseColWidth="10" defaultColWidth="9.140625" defaultRowHeight="12.75" x14ac:dyDescent="0.25"/>
  <cols>
    <col min="1" max="1" width="2.5703125" style="7" customWidth="1"/>
    <col min="2" max="2" width="12.85546875" style="12" customWidth="1"/>
    <col min="3" max="3" width="34" style="8" customWidth="1"/>
    <col min="4" max="4" width="29.85546875" style="8" customWidth="1"/>
    <col min="5" max="5" width="21.85546875" style="8" customWidth="1"/>
    <col min="6" max="6" width="19.42578125" style="128" customWidth="1"/>
    <col min="7" max="7" width="23.140625" style="128" customWidth="1"/>
    <col min="8" max="8" width="17.140625" style="128" customWidth="1"/>
    <col min="9" max="9" width="17.140625" style="128" hidden="1" customWidth="1"/>
    <col min="10" max="10" width="20.42578125" style="128" hidden="1" customWidth="1"/>
    <col min="11" max="11" width="21.42578125" style="128" hidden="1" customWidth="1"/>
    <col min="12" max="12" width="16.7109375" style="128" customWidth="1"/>
    <col min="13" max="13" width="17.42578125" style="128" customWidth="1"/>
    <col min="14" max="14" width="13.7109375" style="128" hidden="1" customWidth="1"/>
    <col min="15" max="15" width="16" style="128" customWidth="1"/>
    <col min="16" max="16" width="19" style="128" customWidth="1"/>
    <col min="17" max="17" width="17.42578125" style="128" customWidth="1"/>
    <col min="18" max="18" width="17.5703125" style="128" hidden="1" customWidth="1"/>
    <col min="19" max="19" width="18" style="128" hidden="1" customWidth="1"/>
    <col min="20" max="20" width="17.28515625" style="128" hidden="1" customWidth="1"/>
    <col min="21" max="21" width="14.7109375" style="128" customWidth="1"/>
    <col min="22" max="22" width="18.42578125" style="128" customWidth="1"/>
    <col min="23" max="23" width="17.140625" style="128" customWidth="1"/>
    <col min="24" max="24" width="18.85546875" style="128" customWidth="1"/>
    <col min="25" max="25" width="18.42578125" style="128" customWidth="1"/>
    <col min="26" max="26" width="16.7109375" style="7" customWidth="1"/>
    <col min="27" max="27" width="26.28515625" style="7" customWidth="1"/>
    <col min="28" max="33" width="15.85546875" style="7" customWidth="1"/>
    <col min="34" max="34" width="9.140625" style="7"/>
    <col min="35" max="35" width="12.28515625" style="7" bestFit="1" customWidth="1"/>
    <col min="36" max="36" width="18.5703125" style="7" customWidth="1"/>
    <col min="37" max="16384" width="9.140625" style="7"/>
  </cols>
  <sheetData>
    <row r="1" spans="1:36" s="1" customFormat="1" ht="114.75" x14ac:dyDescent="0.25">
      <c r="A1" s="157"/>
      <c r="B1" s="153" t="s">
        <v>0</v>
      </c>
      <c r="C1" s="153" t="s">
        <v>1</v>
      </c>
      <c r="D1" s="153" t="s">
        <v>2</v>
      </c>
      <c r="E1" s="153" t="s">
        <v>3</v>
      </c>
      <c r="F1" s="154" t="s">
        <v>4</v>
      </c>
      <c r="G1" s="154" t="s">
        <v>5</v>
      </c>
      <c r="H1" s="154" t="s">
        <v>6</v>
      </c>
      <c r="I1" s="154" t="s">
        <v>7</v>
      </c>
      <c r="J1" s="154" t="s">
        <v>8</v>
      </c>
      <c r="K1" s="154" t="s">
        <v>9</v>
      </c>
      <c r="L1" s="154" t="s">
        <v>205</v>
      </c>
      <c r="M1" s="154" t="s">
        <v>206</v>
      </c>
      <c r="N1" s="154" t="s">
        <v>12</v>
      </c>
      <c r="O1" s="154" t="s">
        <v>13</v>
      </c>
      <c r="P1" s="154" t="s">
        <v>14</v>
      </c>
      <c r="Q1" s="154" t="s">
        <v>15</v>
      </c>
      <c r="R1" s="154" t="s">
        <v>16</v>
      </c>
      <c r="S1" s="154" t="s">
        <v>17</v>
      </c>
      <c r="T1" s="153" t="s">
        <v>18</v>
      </c>
      <c r="U1" s="154" t="s">
        <v>19</v>
      </c>
      <c r="V1" s="154" t="s">
        <v>20</v>
      </c>
      <c r="W1" s="155" t="s">
        <v>21</v>
      </c>
      <c r="X1" s="154" t="s">
        <v>22</v>
      </c>
      <c r="Y1" s="154" t="s">
        <v>23</v>
      </c>
      <c r="Z1" s="154" t="s">
        <v>24</v>
      </c>
      <c r="AA1" s="156" t="s">
        <v>25</v>
      </c>
      <c r="AB1" s="154" t="s">
        <v>26</v>
      </c>
      <c r="AC1" s="154" t="s">
        <v>27</v>
      </c>
      <c r="AD1" s="154" t="s">
        <v>28</v>
      </c>
      <c r="AE1" s="154" t="s">
        <v>29</v>
      </c>
      <c r="AF1" s="154" t="s">
        <v>30</v>
      </c>
      <c r="AG1" s="154" t="s">
        <v>31</v>
      </c>
    </row>
    <row r="2" spans="1:36" s="2" customFormat="1" x14ac:dyDescent="0.25">
      <c r="B2" s="30" t="s">
        <v>32</v>
      </c>
      <c r="C2" s="27" t="s">
        <v>33</v>
      </c>
      <c r="D2" s="27" t="s">
        <v>151</v>
      </c>
      <c r="E2" s="27" t="s">
        <v>35</v>
      </c>
      <c r="F2" s="28">
        <v>0</v>
      </c>
      <c r="G2" s="31">
        <v>1</v>
      </c>
      <c r="H2" s="28">
        <v>0</v>
      </c>
      <c r="I2" s="28">
        <v>0</v>
      </c>
      <c r="J2" s="28">
        <v>0</v>
      </c>
      <c r="K2" s="28">
        <v>0</v>
      </c>
      <c r="L2" s="28">
        <v>0</v>
      </c>
      <c r="M2" s="28">
        <v>0</v>
      </c>
      <c r="N2" s="28">
        <v>0</v>
      </c>
      <c r="O2" s="28">
        <v>0</v>
      </c>
      <c r="P2" s="28">
        <v>0</v>
      </c>
      <c r="Q2" s="28">
        <v>0</v>
      </c>
      <c r="R2" s="28">
        <v>0</v>
      </c>
      <c r="S2" s="28">
        <v>0</v>
      </c>
      <c r="T2" s="28">
        <v>0</v>
      </c>
      <c r="U2" s="28">
        <v>0</v>
      </c>
      <c r="V2" s="28">
        <v>0</v>
      </c>
      <c r="W2" s="28">
        <v>0</v>
      </c>
      <c r="X2" s="28">
        <v>0</v>
      </c>
      <c r="Y2" s="28">
        <v>0</v>
      </c>
      <c r="Z2" s="28">
        <v>0</v>
      </c>
      <c r="AB2" s="35">
        <v>19</v>
      </c>
      <c r="AC2" s="35">
        <v>2</v>
      </c>
      <c r="AD2" s="35">
        <v>1</v>
      </c>
      <c r="AE2" s="35">
        <v>1</v>
      </c>
      <c r="AF2" s="35">
        <v>1</v>
      </c>
      <c r="AG2" s="35">
        <v>2</v>
      </c>
    </row>
    <row r="3" spans="1:36" s="2" customFormat="1" ht="25.5" x14ac:dyDescent="0.25">
      <c r="B3" s="29" t="s">
        <v>32</v>
      </c>
      <c r="C3" s="27" t="s">
        <v>34</v>
      </c>
      <c r="D3" s="27" t="s">
        <v>151</v>
      </c>
      <c r="E3" s="27" t="s">
        <v>35</v>
      </c>
      <c r="F3" s="28">
        <v>0</v>
      </c>
      <c r="G3" s="31">
        <v>3</v>
      </c>
      <c r="H3" s="28">
        <v>0</v>
      </c>
      <c r="I3" s="28">
        <v>0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0</v>
      </c>
      <c r="R3" s="28">
        <v>0</v>
      </c>
      <c r="S3" s="28">
        <v>0</v>
      </c>
      <c r="T3" s="28">
        <v>0</v>
      </c>
      <c r="U3" s="28">
        <v>0</v>
      </c>
      <c r="V3" s="28">
        <v>0</v>
      </c>
      <c r="W3" s="28">
        <v>0</v>
      </c>
      <c r="X3" s="28">
        <v>0</v>
      </c>
      <c r="Y3" s="28">
        <v>0</v>
      </c>
      <c r="Z3" s="28">
        <v>0</v>
      </c>
      <c r="AB3" s="32">
        <v>0</v>
      </c>
      <c r="AC3" s="32">
        <v>0</v>
      </c>
      <c r="AD3" s="32">
        <v>0</v>
      </c>
      <c r="AE3" s="32">
        <v>0</v>
      </c>
      <c r="AF3" s="32">
        <v>0</v>
      </c>
      <c r="AG3" s="32">
        <v>0</v>
      </c>
    </row>
    <row r="4" spans="1:36" s="2" customFormat="1" ht="25.5" x14ac:dyDescent="0.25">
      <c r="B4" s="29" t="s">
        <v>32</v>
      </c>
      <c r="C4" s="27" t="s">
        <v>34</v>
      </c>
      <c r="D4" s="27" t="s">
        <v>150</v>
      </c>
      <c r="E4" s="27" t="s">
        <v>35</v>
      </c>
      <c r="F4" s="28">
        <v>0</v>
      </c>
      <c r="G4" s="31">
        <v>2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B4" s="32">
        <v>15</v>
      </c>
      <c r="AC4" s="32">
        <v>0</v>
      </c>
      <c r="AD4" s="35">
        <v>1</v>
      </c>
      <c r="AE4" s="35">
        <v>1</v>
      </c>
      <c r="AF4" s="32">
        <v>0</v>
      </c>
      <c r="AG4" s="35">
        <v>1</v>
      </c>
    </row>
    <row r="5" spans="1:36" s="2" customFormat="1" ht="38.25" x14ac:dyDescent="0.25">
      <c r="B5" s="29" t="s">
        <v>32</v>
      </c>
      <c r="C5" s="27" t="s">
        <v>34</v>
      </c>
      <c r="D5" s="27" t="s">
        <v>178</v>
      </c>
      <c r="E5" s="27" t="s">
        <v>35</v>
      </c>
      <c r="F5" s="28">
        <v>0</v>
      </c>
      <c r="G5" s="31">
        <v>1</v>
      </c>
      <c r="H5" s="28">
        <v>0</v>
      </c>
      <c r="I5" s="28">
        <v>0</v>
      </c>
      <c r="J5" s="28">
        <v>0</v>
      </c>
      <c r="K5" s="28">
        <v>0</v>
      </c>
      <c r="L5" s="28">
        <v>0</v>
      </c>
      <c r="M5" s="28">
        <v>0</v>
      </c>
      <c r="N5" s="28">
        <v>0</v>
      </c>
      <c r="O5" s="28">
        <v>0</v>
      </c>
      <c r="P5" s="28">
        <v>0</v>
      </c>
      <c r="Q5" s="28">
        <v>0</v>
      </c>
      <c r="R5" s="28">
        <v>0</v>
      </c>
      <c r="S5" s="28">
        <v>0</v>
      </c>
      <c r="T5" s="28">
        <v>0</v>
      </c>
      <c r="U5" s="28">
        <v>0</v>
      </c>
      <c r="V5" s="28">
        <v>0</v>
      </c>
      <c r="W5" s="28">
        <v>0</v>
      </c>
      <c r="X5" s="28">
        <v>0</v>
      </c>
      <c r="Y5" s="28">
        <v>0</v>
      </c>
      <c r="Z5" s="28">
        <v>0</v>
      </c>
      <c r="AB5" s="32">
        <v>7</v>
      </c>
      <c r="AC5" s="32">
        <v>0</v>
      </c>
      <c r="AD5" s="35">
        <v>1</v>
      </c>
      <c r="AE5" s="35">
        <v>1</v>
      </c>
      <c r="AF5" s="32">
        <v>0</v>
      </c>
      <c r="AG5" s="35">
        <v>1</v>
      </c>
    </row>
    <row r="6" spans="1:36" s="2" customFormat="1" ht="38.25" x14ac:dyDescent="0.25">
      <c r="B6" s="29" t="s">
        <v>32</v>
      </c>
      <c r="C6" s="27" t="s">
        <v>34</v>
      </c>
      <c r="D6" s="27" t="s">
        <v>144</v>
      </c>
      <c r="E6" s="27" t="s">
        <v>36</v>
      </c>
      <c r="F6" s="28">
        <v>0</v>
      </c>
      <c r="G6" s="31">
        <v>2</v>
      </c>
      <c r="H6" s="28">
        <v>0</v>
      </c>
      <c r="I6" s="28">
        <v>0</v>
      </c>
      <c r="J6" s="28">
        <v>0</v>
      </c>
      <c r="K6" s="28">
        <v>0</v>
      </c>
      <c r="L6" s="28">
        <v>0</v>
      </c>
      <c r="M6" s="28">
        <v>0</v>
      </c>
      <c r="N6" s="28">
        <v>0</v>
      </c>
      <c r="O6" s="28">
        <v>0</v>
      </c>
      <c r="P6" s="28">
        <v>0</v>
      </c>
      <c r="Q6" s="28">
        <v>0</v>
      </c>
      <c r="R6" s="28">
        <v>0</v>
      </c>
      <c r="S6" s="28">
        <v>0</v>
      </c>
      <c r="T6" s="28">
        <v>0</v>
      </c>
      <c r="U6" s="28">
        <v>0</v>
      </c>
      <c r="V6" s="28">
        <v>0</v>
      </c>
      <c r="W6" s="28">
        <v>0</v>
      </c>
      <c r="X6" s="31">
        <v>1</v>
      </c>
      <c r="Y6" s="28">
        <v>0</v>
      </c>
      <c r="Z6" s="28">
        <v>0</v>
      </c>
      <c r="AB6" s="32">
        <v>11</v>
      </c>
      <c r="AC6" s="32">
        <v>0</v>
      </c>
      <c r="AD6" s="35">
        <v>1</v>
      </c>
      <c r="AE6" s="35">
        <v>1</v>
      </c>
      <c r="AF6" s="32">
        <v>0</v>
      </c>
      <c r="AG6" s="35">
        <v>1</v>
      </c>
    </row>
    <row r="7" spans="1:36" s="2" customFormat="1" ht="25.5" x14ac:dyDescent="0.25">
      <c r="B7" s="29" t="s">
        <v>32</v>
      </c>
      <c r="C7" s="27" t="s">
        <v>34</v>
      </c>
      <c r="D7" s="27" t="s">
        <v>145</v>
      </c>
      <c r="E7" s="27" t="s">
        <v>36</v>
      </c>
      <c r="F7" s="28">
        <v>0</v>
      </c>
      <c r="G7" s="31">
        <v>1</v>
      </c>
      <c r="H7" s="28">
        <v>0</v>
      </c>
      <c r="I7" s="28"/>
      <c r="J7" s="28"/>
      <c r="K7" s="28"/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B7" s="32">
        <v>0</v>
      </c>
      <c r="AC7" s="32">
        <v>0</v>
      </c>
      <c r="AD7" s="32">
        <v>0</v>
      </c>
      <c r="AE7" s="32">
        <v>0</v>
      </c>
      <c r="AF7" s="32">
        <v>0</v>
      </c>
      <c r="AG7" s="32">
        <v>0</v>
      </c>
    </row>
    <row r="8" spans="1:36" s="2" customFormat="1" ht="25.5" x14ac:dyDescent="0.25">
      <c r="B8" s="29" t="s">
        <v>32</v>
      </c>
      <c r="C8" s="27" t="s">
        <v>34</v>
      </c>
      <c r="D8" s="27" t="s">
        <v>179</v>
      </c>
      <c r="E8" s="27" t="s">
        <v>37</v>
      </c>
      <c r="F8" s="28">
        <v>0</v>
      </c>
      <c r="G8" s="31">
        <v>2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0</v>
      </c>
      <c r="W8" s="28">
        <v>0</v>
      </c>
      <c r="X8" s="28">
        <v>0</v>
      </c>
      <c r="Y8" s="28">
        <v>0</v>
      </c>
      <c r="Z8" s="28">
        <v>0</v>
      </c>
      <c r="AB8" s="35">
        <v>16</v>
      </c>
      <c r="AC8" s="32">
        <v>0</v>
      </c>
      <c r="AD8" s="35">
        <v>1</v>
      </c>
      <c r="AE8" s="35">
        <v>1</v>
      </c>
      <c r="AF8" s="32">
        <v>0</v>
      </c>
      <c r="AG8" s="35">
        <v>3</v>
      </c>
    </row>
    <row r="9" spans="1:36" s="2" customFormat="1" ht="25.5" x14ac:dyDescent="0.25">
      <c r="B9" s="29" t="s">
        <v>32</v>
      </c>
      <c r="C9" s="27" t="s">
        <v>34</v>
      </c>
      <c r="D9" s="27" t="s">
        <v>38</v>
      </c>
      <c r="E9" s="27" t="s">
        <v>37</v>
      </c>
      <c r="F9" s="28">
        <v>0</v>
      </c>
      <c r="G9" s="31">
        <v>2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58">
        <f>(AA11/30)*30</f>
        <v>324478961.59004366</v>
      </c>
      <c r="AB9" s="32">
        <v>0</v>
      </c>
      <c r="AC9" s="32">
        <v>0</v>
      </c>
      <c r="AD9" s="32">
        <v>0</v>
      </c>
      <c r="AE9" s="32">
        <v>0</v>
      </c>
      <c r="AF9" s="32">
        <v>0</v>
      </c>
      <c r="AG9" s="32">
        <v>0</v>
      </c>
      <c r="AI9" s="161">
        <f>+'ENERO 2026'!AA9</f>
        <v>324478961.59004366</v>
      </c>
    </row>
    <row r="10" spans="1:36" s="2" customFormat="1" ht="25.5" x14ac:dyDescent="0.25">
      <c r="B10" s="29" t="s">
        <v>32</v>
      </c>
      <c r="C10" s="27" t="s">
        <v>34</v>
      </c>
      <c r="D10" s="27" t="s">
        <v>39</v>
      </c>
      <c r="E10" s="27" t="s">
        <v>40</v>
      </c>
      <c r="F10" s="28">
        <v>0</v>
      </c>
      <c r="G10" s="31">
        <v>1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B10" s="32">
        <v>0</v>
      </c>
      <c r="AC10" s="32">
        <v>0</v>
      </c>
      <c r="AD10" s="32">
        <v>0</v>
      </c>
      <c r="AE10" s="32">
        <v>0</v>
      </c>
      <c r="AF10" s="32">
        <v>0</v>
      </c>
      <c r="AG10" s="32">
        <v>0</v>
      </c>
    </row>
    <row r="11" spans="1:36" s="2" customFormat="1" ht="25.5" x14ac:dyDescent="0.25">
      <c r="B11" s="29" t="s">
        <v>32</v>
      </c>
      <c r="C11" s="27" t="s">
        <v>34</v>
      </c>
      <c r="D11" s="27" t="s">
        <v>180</v>
      </c>
      <c r="E11" s="27" t="s">
        <v>40</v>
      </c>
      <c r="F11" s="28">
        <v>0</v>
      </c>
      <c r="G11" s="31">
        <v>2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58">
        <f>+(G12*G97)+(X12*X97)</f>
        <v>324478961.59004366</v>
      </c>
      <c r="AB11" s="35">
        <v>15</v>
      </c>
      <c r="AC11" s="32">
        <v>0</v>
      </c>
      <c r="AD11" s="35">
        <v>1</v>
      </c>
      <c r="AE11" s="35">
        <v>1</v>
      </c>
      <c r="AF11" s="32">
        <v>0</v>
      </c>
      <c r="AG11" s="35">
        <v>3</v>
      </c>
    </row>
    <row r="12" spans="1:36" s="53" customFormat="1" ht="22.5" x14ac:dyDescent="0.25">
      <c r="B12" s="164" t="s">
        <v>41</v>
      </c>
      <c r="C12" s="164"/>
      <c r="D12" s="164"/>
      <c r="E12" s="164"/>
      <c r="F12" s="98">
        <f t="shared" ref="F12:Z12" si="0">SUM(F2:F11)</f>
        <v>0</v>
      </c>
      <c r="G12" s="98">
        <f t="shared" si="0"/>
        <v>17</v>
      </c>
      <c r="H12" s="98">
        <f t="shared" si="0"/>
        <v>0</v>
      </c>
      <c r="I12" s="98">
        <f t="shared" si="0"/>
        <v>0</v>
      </c>
      <c r="J12" s="98">
        <f t="shared" si="0"/>
        <v>0</v>
      </c>
      <c r="K12" s="98">
        <f t="shared" si="0"/>
        <v>0</v>
      </c>
      <c r="L12" s="98">
        <f t="shared" si="0"/>
        <v>0</v>
      </c>
      <c r="M12" s="98">
        <f t="shared" si="0"/>
        <v>0</v>
      </c>
      <c r="N12" s="98">
        <f t="shared" si="0"/>
        <v>0</v>
      </c>
      <c r="O12" s="98">
        <f t="shared" si="0"/>
        <v>0</v>
      </c>
      <c r="P12" s="98">
        <f t="shared" si="0"/>
        <v>0</v>
      </c>
      <c r="Q12" s="98">
        <f t="shared" si="0"/>
        <v>0</v>
      </c>
      <c r="R12" s="98">
        <f t="shared" si="0"/>
        <v>0</v>
      </c>
      <c r="S12" s="98">
        <f t="shared" si="0"/>
        <v>0</v>
      </c>
      <c r="T12" s="98">
        <f t="shared" si="0"/>
        <v>0</v>
      </c>
      <c r="U12" s="98">
        <f t="shared" si="0"/>
        <v>0</v>
      </c>
      <c r="V12" s="98">
        <f t="shared" si="0"/>
        <v>0</v>
      </c>
      <c r="W12" s="98">
        <f t="shared" si="0"/>
        <v>0</v>
      </c>
      <c r="X12" s="98">
        <f t="shared" si="0"/>
        <v>1</v>
      </c>
      <c r="Y12" s="98">
        <f t="shared" si="0"/>
        <v>0</v>
      </c>
      <c r="Z12" s="98">
        <f t="shared" si="0"/>
        <v>0</v>
      </c>
      <c r="AA12" s="121">
        <f>SUM(F12:Z12)</f>
        <v>18</v>
      </c>
      <c r="AB12" s="122">
        <f t="shared" ref="AB12:AG12" si="1">SUM(AB2:AB11)</f>
        <v>83</v>
      </c>
      <c r="AC12" s="122">
        <f t="shared" si="1"/>
        <v>2</v>
      </c>
      <c r="AD12" s="122">
        <f t="shared" si="1"/>
        <v>6</v>
      </c>
      <c r="AE12" s="122">
        <f t="shared" si="1"/>
        <v>6</v>
      </c>
      <c r="AF12" s="122">
        <f t="shared" si="1"/>
        <v>1</v>
      </c>
      <c r="AG12" s="122">
        <f t="shared" si="1"/>
        <v>11</v>
      </c>
    </row>
    <row r="13" spans="1:36" s="2" customFormat="1" ht="24.75" customHeight="1" x14ac:dyDescent="0.25">
      <c r="B13" s="30" t="s">
        <v>42</v>
      </c>
      <c r="C13" s="27" t="s">
        <v>43</v>
      </c>
      <c r="D13" s="27" t="s">
        <v>181</v>
      </c>
      <c r="E13" s="27" t="s">
        <v>45</v>
      </c>
      <c r="F13" s="28">
        <v>0</v>
      </c>
      <c r="G13" s="31">
        <v>1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32">
        <v>0</v>
      </c>
    </row>
    <row r="14" spans="1:36" s="2" customFormat="1" ht="25.5" x14ac:dyDescent="0.25">
      <c r="B14" s="29" t="s">
        <v>42</v>
      </c>
      <c r="C14" s="27" t="s">
        <v>44</v>
      </c>
      <c r="D14" s="27" t="s">
        <v>181</v>
      </c>
      <c r="E14" s="27" t="s">
        <v>45</v>
      </c>
      <c r="F14" s="31">
        <v>1</v>
      </c>
      <c r="G14" s="31">
        <v>3</v>
      </c>
      <c r="H14" s="31">
        <v>1</v>
      </c>
      <c r="I14" s="28">
        <v>0</v>
      </c>
      <c r="J14" s="28">
        <v>0</v>
      </c>
      <c r="K14" s="28">
        <v>0</v>
      </c>
      <c r="L14" s="28">
        <v>0</v>
      </c>
      <c r="M14" s="31">
        <v>1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31">
        <v>1</v>
      </c>
      <c r="Z14" s="28">
        <v>0</v>
      </c>
      <c r="AB14" s="35">
        <v>58</v>
      </c>
      <c r="AC14" s="35">
        <v>2</v>
      </c>
      <c r="AD14" s="35">
        <v>2</v>
      </c>
      <c r="AE14" s="35">
        <v>2</v>
      </c>
      <c r="AF14" s="35">
        <v>1</v>
      </c>
      <c r="AG14" s="35">
        <v>5</v>
      </c>
    </row>
    <row r="15" spans="1:36" s="2" customFormat="1" ht="38.25" x14ac:dyDescent="0.25">
      <c r="B15" s="29" t="s">
        <v>42</v>
      </c>
      <c r="C15" s="27" t="s">
        <v>46</v>
      </c>
      <c r="D15" s="27" t="s">
        <v>181</v>
      </c>
      <c r="E15" s="27" t="s">
        <v>45</v>
      </c>
      <c r="F15" s="31"/>
      <c r="G15" s="31"/>
      <c r="H15" s="31"/>
      <c r="I15" s="28"/>
      <c r="J15" s="28"/>
      <c r="K15" s="28"/>
      <c r="L15" s="28"/>
      <c r="M15" s="28"/>
      <c r="N15" s="28"/>
      <c r="O15" s="28"/>
      <c r="P15" s="31"/>
      <c r="Q15" s="28"/>
      <c r="R15" s="28"/>
      <c r="S15" s="28"/>
      <c r="T15" s="28"/>
      <c r="U15" s="28"/>
      <c r="V15" s="28"/>
      <c r="W15" s="28"/>
      <c r="X15" s="28"/>
      <c r="Y15" s="28"/>
      <c r="Z15" s="28"/>
      <c r="AB15" s="35"/>
      <c r="AC15" s="32"/>
      <c r="AD15" s="32"/>
      <c r="AE15" s="32"/>
      <c r="AF15" s="32"/>
      <c r="AG15" s="32"/>
    </row>
    <row r="16" spans="1:36" s="2" customFormat="1" ht="25.5" x14ac:dyDescent="0.25">
      <c r="B16" s="29" t="s">
        <v>42</v>
      </c>
      <c r="C16" s="27" t="s">
        <v>44</v>
      </c>
      <c r="D16" s="27" t="s">
        <v>152</v>
      </c>
      <c r="E16" s="27" t="s">
        <v>47</v>
      </c>
      <c r="F16" s="31">
        <v>3</v>
      </c>
      <c r="G16" s="31">
        <v>4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58">
        <f>(AA17/30)*30</f>
        <v>352430686.53907198</v>
      </c>
      <c r="AB16" s="35">
        <v>10</v>
      </c>
      <c r="AC16" s="32">
        <v>0</v>
      </c>
      <c r="AD16" s="35">
        <v>1</v>
      </c>
      <c r="AE16" s="35">
        <v>1</v>
      </c>
      <c r="AF16" s="32">
        <v>0</v>
      </c>
      <c r="AG16" s="35">
        <v>3</v>
      </c>
      <c r="AI16" s="161">
        <f>+'MARZO '!AA16</f>
        <v>352430686.53907198</v>
      </c>
      <c r="AJ16" s="162">
        <f>+AI16-AA16</f>
        <v>0</v>
      </c>
    </row>
    <row r="17" spans="2:34" s="2" customFormat="1" ht="48" customHeight="1" x14ac:dyDescent="0.25">
      <c r="B17" s="29" t="s">
        <v>42</v>
      </c>
      <c r="C17" s="27" t="s">
        <v>44</v>
      </c>
      <c r="D17" s="27" t="s">
        <v>146</v>
      </c>
      <c r="E17" s="27" t="s">
        <v>48</v>
      </c>
      <c r="F17" s="31">
        <v>2</v>
      </c>
      <c r="G17" s="31">
        <v>3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58">
        <f>+(F18*F97)+(G18*G97)+(H18*H97)+(M18*M97)+(P18*P97)+(Y18*Y97)</f>
        <v>352430686.53907198</v>
      </c>
      <c r="AB17" s="35">
        <v>10</v>
      </c>
      <c r="AC17" s="32">
        <v>0</v>
      </c>
      <c r="AD17" s="35">
        <v>1</v>
      </c>
      <c r="AE17" s="35">
        <v>1</v>
      </c>
      <c r="AF17" s="32">
        <v>0</v>
      </c>
      <c r="AG17" s="35">
        <v>3</v>
      </c>
    </row>
    <row r="18" spans="2:34" s="53" customFormat="1" ht="19.5" customHeight="1" x14ac:dyDescent="0.25">
      <c r="B18" s="164" t="s">
        <v>49</v>
      </c>
      <c r="C18" s="164"/>
      <c r="D18" s="164"/>
      <c r="E18" s="164"/>
      <c r="F18" s="98">
        <f t="shared" ref="F18:Z18" si="2">SUM(F13:F17)</f>
        <v>6</v>
      </c>
      <c r="G18" s="98">
        <f t="shared" si="2"/>
        <v>11</v>
      </c>
      <c r="H18" s="98">
        <f t="shared" si="2"/>
        <v>1</v>
      </c>
      <c r="I18" s="98">
        <f t="shared" si="2"/>
        <v>0</v>
      </c>
      <c r="J18" s="98">
        <f t="shared" si="2"/>
        <v>0</v>
      </c>
      <c r="K18" s="98">
        <f t="shared" si="2"/>
        <v>0</v>
      </c>
      <c r="L18" s="98">
        <f t="shared" si="2"/>
        <v>0</v>
      </c>
      <c r="M18" s="98">
        <f t="shared" si="2"/>
        <v>1</v>
      </c>
      <c r="N18" s="98">
        <f t="shared" si="2"/>
        <v>0</v>
      </c>
      <c r="O18" s="98">
        <f t="shared" si="2"/>
        <v>0</v>
      </c>
      <c r="P18" s="98">
        <f t="shared" si="2"/>
        <v>0</v>
      </c>
      <c r="Q18" s="98">
        <f t="shared" si="2"/>
        <v>0</v>
      </c>
      <c r="R18" s="98">
        <f t="shared" si="2"/>
        <v>0</v>
      </c>
      <c r="S18" s="98">
        <f t="shared" si="2"/>
        <v>0</v>
      </c>
      <c r="T18" s="98">
        <f t="shared" si="2"/>
        <v>0</v>
      </c>
      <c r="U18" s="98">
        <f t="shared" si="2"/>
        <v>0</v>
      </c>
      <c r="V18" s="98">
        <f t="shared" si="2"/>
        <v>0</v>
      </c>
      <c r="W18" s="98">
        <f t="shared" si="2"/>
        <v>0</v>
      </c>
      <c r="X18" s="98">
        <f t="shared" si="2"/>
        <v>0</v>
      </c>
      <c r="Y18" s="98">
        <f t="shared" si="2"/>
        <v>1</v>
      </c>
      <c r="Z18" s="98">
        <f t="shared" si="2"/>
        <v>0</v>
      </c>
      <c r="AA18" s="121">
        <f>SUM(F18:Z18)</f>
        <v>20</v>
      </c>
      <c r="AB18" s="122">
        <f>SUM(AB13:AB17)</f>
        <v>78</v>
      </c>
      <c r="AC18" s="122">
        <f t="shared" ref="AC18:AG18" si="3">SUM(AC13:AC17)</f>
        <v>2</v>
      </c>
      <c r="AD18" s="122">
        <f t="shared" si="3"/>
        <v>4</v>
      </c>
      <c r="AE18" s="122">
        <f t="shared" si="3"/>
        <v>4</v>
      </c>
      <c r="AF18" s="122">
        <f t="shared" si="3"/>
        <v>1</v>
      </c>
      <c r="AG18" s="122">
        <f t="shared" si="3"/>
        <v>11</v>
      </c>
    </row>
    <row r="19" spans="2:34" s="2" customFormat="1" ht="43.5" customHeight="1" x14ac:dyDescent="0.25">
      <c r="B19" s="30" t="s">
        <v>50</v>
      </c>
      <c r="C19" s="27" t="s">
        <v>33</v>
      </c>
      <c r="D19" s="27" t="s">
        <v>182</v>
      </c>
      <c r="E19" s="27" t="s">
        <v>52</v>
      </c>
      <c r="F19" s="28">
        <v>0</v>
      </c>
      <c r="G19" s="31">
        <v>1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B19" s="32">
        <v>0</v>
      </c>
      <c r="AC19" s="32">
        <v>0</v>
      </c>
      <c r="AD19" s="32">
        <v>0</v>
      </c>
      <c r="AE19" s="32">
        <v>0</v>
      </c>
      <c r="AF19" s="32">
        <v>0</v>
      </c>
      <c r="AG19" s="32">
        <v>0</v>
      </c>
    </row>
    <row r="20" spans="2:34" s="2" customFormat="1" ht="48" customHeight="1" x14ac:dyDescent="0.25">
      <c r="B20" s="29" t="s">
        <v>50</v>
      </c>
      <c r="C20" s="27" t="s">
        <v>195</v>
      </c>
      <c r="D20" s="27" t="s">
        <v>182</v>
      </c>
      <c r="E20" s="27" t="s">
        <v>52</v>
      </c>
      <c r="F20" s="28">
        <v>0</v>
      </c>
      <c r="G20" s="31">
        <v>4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31">
        <v>1</v>
      </c>
      <c r="R20" s="28">
        <v>0</v>
      </c>
      <c r="S20" s="28">
        <v>0</v>
      </c>
      <c r="T20" s="28">
        <v>0</v>
      </c>
      <c r="U20" s="28">
        <v>0</v>
      </c>
      <c r="V20" s="31">
        <v>1</v>
      </c>
      <c r="W20" s="28">
        <v>0</v>
      </c>
      <c r="X20" s="28">
        <v>0</v>
      </c>
      <c r="Y20" s="28">
        <v>0</v>
      </c>
      <c r="Z20" s="28">
        <v>0</v>
      </c>
      <c r="AB20" s="35">
        <v>18</v>
      </c>
      <c r="AC20" s="32">
        <v>0</v>
      </c>
      <c r="AD20" s="35">
        <v>2</v>
      </c>
      <c r="AE20" s="35">
        <v>2</v>
      </c>
      <c r="AF20" s="35">
        <v>1</v>
      </c>
      <c r="AG20" s="32">
        <v>0</v>
      </c>
    </row>
    <row r="21" spans="2:34" s="2" customFormat="1" ht="48" customHeight="1" x14ac:dyDescent="0.25">
      <c r="B21" s="29" t="s">
        <v>50</v>
      </c>
      <c r="C21" s="27" t="s">
        <v>195</v>
      </c>
      <c r="D21" s="27" t="s">
        <v>183</v>
      </c>
      <c r="E21" s="27" t="s">
        <v>121</v>
      </c>
      <c r="F21" s="28">
        <v>0</v>
      </c>
      <c r="G21" s="31">
        <v>1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B21" s="35">
        <v>8</v>
      </c>
      <c r="AC21" s="32">
        <v>0</v>
      </c>
      <c r="AD21" s="35">
        <v>1</v>
      </c>
      <c r="AE21" s="35">
        <v>1</v>
      </c>
      <c r="AF21" s="35">
        <v>1</v>
      </c>
      <c r="AG21" s="35">
        <v>1</v>
      </c>
    </row>
    <row r="22" spans="2:34" s="2" customFormat="1" ht="48" customHeight="1" x14ac:dyDescent="0.25">
      <c r="B22" s="29" t="s">
        <v>50</v>
      </c>
      <c r="C22" s="27" t="s">
        <v>195</v>
      </c>
      <c r="D22" s="27" t="s">
        <v>153</v>
      </c>
      <c r="E22" s="27" t="s">
        <v>123</v>
      </c>
      <c r="F22" s="28">
        <v>0</v>
      </c>
      <c r="G22" s="31">
        <v>1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B22" s="35">
        <v>8</v>
      </c>
      <c r="AC22" s="32">
        <v>0</v>
      </c>
      <c r="AD22" s="35">
        <v>1</v>
      </c>
      <c r="AE22" s="35">
        <v>1</v>
      </c>
      <c r="AF22" s="35">
        <v>1</v>
      </c>
      <c r="AG22" s="35">
        <v>1</v>
      </c>
    </row>
    <row r="23" spans="2:34" s="2" customFormat="1" ht="43.5" customHeight="1" x14ac:dyDescent="0.25">
      <c r="B23" s="30" t="s">
        <v>50</v>
      </c>
      <c r="C23" s="27" t="s">
        <v>51</v>
      </c>
      <c r="D23" s="27" t="s">
        <v>53</v>
      </c>
      <c r="E23" s="27" t="s">
        <v>52</v>
      </c>
      <c r="F23" s="28">
        <v>0</v>
      </c>
      <c r="G23" s="31">
        <v>3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/>
      <c r="N23" s="28">
        <v>0</v>
      </c>
      <c r="O23" s="28">
        <v>0</v>
      </c>
      <c r="P23" s="28">
        <v>0</v>
      </c>
      <c r="Q23" s="31">
        <v>1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B23" s="35">
        <v>22</v>
      </c>
      <c r="AC23" s="32">
        <v>0</v>
      </c>
      <c r="AD23" s="35">
        <v>2</v>
      </c>
      <c r="AE23" s="35">
        <v>2</v>
      </c>
      <c r="AF23" s="35">
        <v>1</v>
      </c>
      <c r="AG23" s="32">
        <v>0</v>
      </c>
    </row>
    <row r="24" spans="2:34" s="2" customFormat="1" ht="48" customHeight="1" x14ac:dyDescent="0.25">
      <c r="B24" s="29" t="s">
        <v>50</v>
      </c>
      <c r="C24" s="27" t="s">
        <v>54</v>
      </c>
      <c r="D24" s="27" t="s">
        <v>154</v>
      </c>
      <c r="E24" s="27" t="s">
        <v>121</v>
      </c>
      <c r="F24" s="28">
        <v>0</v>
      </c>
      <c r="G24" s="31">
        <v>3</v>
      </c>
      <c r="H24" s="28">
        <v>0</v>
      </c>
      <c r="I24" s="28">
        <v>0</v>
      </c>
      <c r="J24" s="28">
        <v>0</v>
      </c>
      <c r="K24" s="28">
        <v>0</v>
      </c>
      <c r="L24" s="31">
        <v>1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B24" s="35">
        <v>12</v>
      </c>
      <c r="AC24" s="32">
        <v>0</v>
      </c>
      <c r="AD24" s="35">
        <v>1</v>
      </c>
      <c r="AE24" s="35">
        <v>1</v>
      </c>
      <c r="AF24" s="32">
        <v>0</v>
      </c>
      <c r="AG24" s="32">
        <v>0</v>
      </c>
    </row>
    <row r="25" spans="2:34" s="2" customFormat="1" ht="48" customHeight="1" x14ac:dyDescent="0.25">
      <c r="B25" s="29" t="s">
        <v>50</v>
      </c>
      <c r="C25" s="27" t="s">
        <v>54</v>
      </c>
      <c r="D25" s="27" t="s">
        <v>147</v>
      </c>
      <c r="E25" s="27" t="s">
        <v>121</v>
      </c>
      <c r="F25" s="28">
        <v>0</v>
      </c>
      <c r="G25" s="31">
        <v>2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31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31">
        <v>1</v>
      </c>
      <c r="W25" s="28">
        <v>0</v>
      </c>
      <c r="X25" s="28">
        <v>0</v>
      </c>
      <c r="Y25" s="28">
        <v>0</v>
      </c>
      <c r="Z25" s="28">
        <v>0</v>
      </c>
      <c r="AB25" s="32">
        <v>0</v>
      </c>
      <c r="AC25" s="32">
        <v>0</v>
      </c>
      <c r="AD25" s="32">
        <v>0</v>
      </c>
      <c r="AE25" s="32">
        <v>0</v>
      </c>
      <c r="AF25" s="32">
        <v>0</v>
      </c>
      <c r="AG25" s="32">
        <v>0</v>
      </c>
    </row>
    <row r="26" spans="2:34" s="2" customFormat="1" ht="48" customHeight="1" x14ac:dyDescent="0.25">
      <c r="B26" s="29" t="s">
        <v>50</v>
      </c>
      <c r="C26" s="27" t="s">
        <v>54</v>
      </c>
      <c r="D26" s="27" t="s">
        <v>148</v>
      </c>
      <c r="E26" s="27" t="s">
        <v>124</v>
      </c>
      <c r="F26" s="28">
        <v>0</v>
      </c>
      <c r="G26" s="31">
        <v>1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B26" s="35">
        <v>6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</row>
    <row r="27" spans="2:34" s="2" customFormat="1" ht="49.5" customHeight="1" x14ac:dyDescent="0.25">
      <c r="B27" s="30" t="s">
        <v>50</v>
      </c>
      <c r="C27" s="27" t="s">
        <v>55</v>
      </c>
      <c r="D27" s="27" t="s">
        <v>184</v>
      </c>
      <c r="E27" s="27" t="s">
        <v>56</v>
      </c>
      <c r="F27" s="28">
        <v>0</v>
      </c>
      <c r="G27" s="31">
        <v>2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B27" s="35">
        <v>14</v>
      </c>
      <c r="AC27" s="32">
        <v>0</v>
      </c>
      <c r="AD27" s="35">
        <v>1</v>
      </c>
      <c r="AE27" s="35">
        <v>1</v>
      </c>
      <c r="AF27" s="32">
        <v>0</v>
      </c>
      <c r="AG27" s="35">
        <v>1</v>
      </c>
    </row>
    <row r="28" spans="2:34" s="2" customFormat="1" ht="49.5" customHeight="1" x14ac:dyDescent="0.25">
      <c r="B28" s="30" t="s">
        <v>50</v>
      </c>
      <c r="C28" s="27" t="s">
        <v>55</v>
      </c>
      <c r="D28" s="27" t="s">
        <v>185</v>
      </c>
      <c r="E28" s="27" t="s">
        <v>56</v>
      </c>
      <c r="F28" s="28">
        <v>0</v>
      </c>
      <c r="G28" s="31">
        <v>2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B28" s="35">
        <v>6</v>
      </c>
      <c r="AC28" s="35">
        <v>2</v>
      </c>
      <c r="AD28" s="35">
        <v>1</v>
      </c>
      <c r="AE28" s="35">
        <v>1</v>
      </c>
      <c r="AF28" s="32">
        <v>0</v>
      </c>
      <c r="AG28" s="35">
        <v>1</v>
      </c>
    </row>
    <row r="29" spans="2:34" s="2" customFormat="1" ht="49.5" customHeight="1" x14ac:dyDescent="0.25">
      <c r="B29" s="30" t="s">
        <v>50</v>
      </c>
      <c r="C29" s="27" t="s">
        <v>55</v>
      </c>
      <c r="D29" s="27" t="s">
        <v>186</v>
      </c>
      <c r="E29" s="27" t="s">
        <v>56</v>
      </c>
      <c r="F29" s="28">
        <v>0</v>
      </c>
      <c r="G29" s="31">
        <v>1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B29" s="35">
        <v>6</v>
      </c>
      <c r="AC29" s="35">
        <v>2</v>
      </c>
      <c r="AD29" s="35">
        <v>1</v>
      </c>
      <c r="AE29" s="35">
        <v>1</v>
      </c>
      <c r="AF29" s="32">
        <v>0</v>
      </c>
      <c r="AG29" s="35">
        <v>1</v>
      </c>
    </row>
    <row r="30" spans="2:34" s="2" customFormat="1" ht="49.5" customHeight="1" x14ac:dyDescent="0.25">
      <c r="B30" s="30" t="s">
        <v>50</v>
      </c>
      <c r="C30" s="27" t="s">
        <v>55</v>
      </c>
      <c r="D30" s="27" t="s">
        <v>171</v>
      </c>
      <c r="E30" s="27" t="s">
        <v>56</v>
      </c>
      <c r="F30" s="28">
        <v>0</v>
      </c>
      <c r="G30" s="31">
        <v>1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58">
        <f>(AA32/30)*30</f>
        <v>491097676.63053614</v>
      </c>
      <c r="AB30" s="35">
        <v>4</v>
      </c>
      <c r="AC30" s="35">
        <v>2</v>
      </c>
      <c r="AD30" s="32">
        <v>0</v>
      </c>
      <c r="AE30" s="32">
        <v>0</v>
      </c>
      <c r="AF30" s="32">
        <v>0</v>
      </c>
      <c r="AG30" s="32">
        <v>0</v>
      </c>
      <c r="AH30" s="32"/>
    </row>
    <row r="31" spans="2:34" s="2" customFormat="1" ht="49.5" customHeight="1" x14ac:dyDescent="0.25">
      <c r="B31" s="30" t="s">
        <v>50</v>
      </c>
      <c r="C31" s="27" t="s">
        <v>57</v>
      </c>
      <c r="D31" s="27" t="s">
        <v>187</v>
      </c>
      <c r="E31" s="27" t="s">
        <v>125</v>
      </c>
      <c r="F31" s="28">
        <v>0</v>
      </c>
      <c r="G31" s="31">
        <v>1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58"/>
      <c r="AB31" s="35">
        <v>6</v>
      </c>
      <c r="AC31" s="32">
        <v>0</v>
      </c>
      <c r="AD31" s="35">
        <v>1</v>
      </c>
      <c r="AE31" s="35">
        <v>1</v>
      </c>
      <c r="AF31" s="32">
        <v>0</v>
      </c>
      <c r="AG31" s="35">
        <v>1</v>
      </c>
    </row>
    <row r="32" spans="2:34" s="2" customFormat="1" ht="49.5" customHeight="1" x14ac:dyDescent="0.25">
      <c r="B32" s="30" t="s">
        <v>50</v>
      </c>
      <c r="C32" s="27" t="s">
        <v>57</v>
      </c>
      <c r="D32" s="27" t="s">
        <v>149</v>
      </c>
      <c r="E32" s="27" t="s">
        <v>126</v>
      </c>
      <c r="F32" s="28">
        <v>0</v>
      </c>
      <c r="G32" s="31">
        <v>1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58">
        <f>+(G33*G97)+(L33*L97)+(O33*O97)+(Q33*Q97)+(V33*V97)</f>
        <v>491097676.63053614</v>
      </c>
      <c r="AB32" s="35">
        <v>6</v>
      </c>
      <c r="AC32" s="32">
        <v>0</v>
      </c>
      <c r="AD32" s="35">
        <v>1</v>
      </c>
      <c r="AE32" s="35">
        <v>1</v>
      </c>
      <c r="AF32" s="32">
        <v>0</v>
      </c>
      <c r="AG32" s="35">
        <v>1</v>
      </c>
    </row>
    <row r="33" spans="2:33" s="53" customFormat="1" ht="22.5" x14ac:dyDescent="0.25">
      <c r="B33" s="164" t="s">
        <v>58</v>
      </c>
      <c r="C33" s="164"/>
      <c r="D33" s="164"/>
      <c r="E33" s="164"/>
      <c r="F33" s="98">
        <f t="shared" ref="F33:Z33" si="4">SUM(F19:F32)</f>
        <v>0</v>
      </c>
      <c r="G33" s="98">
        <f t="shared" si="4"/>
        <v>24</v>
      </c>
      <c r="H33" s="98">
        <f t="shared" si="4"/>
        <v>0</v>
      </c>
      <c r="I33" s="98">
        <f t="shared" si="4"/>
        <v>0</v>
      </c>
      <c r="J33" s="98">
        <f t="shared" si="4"/>
        <v>0</v>
      </c>
      <c r="K33" s="98">
        <f t="shared" si="4"/>
        <v>0</v>
      </c>
      <c r="L33" s="98">
        <f t="shared" si="4"/>
        <v>1</v>
      </c>
      <c r="M33" s="98">
        <f t="shared" si="4"/>
        <v>0</v>
      </c>
      <c r="N33" s="98">
        <f t="shared" si="4"/>
        <v>0</v>
      </c>
      <c r="O33" s="98">
        <f t="shared" si="4"/>
        <v>0</v>
      </c>
      <c r="P33" s="98">
        <f t="shared" si="4"/>
        <v>0</v>
      </c>
      <c r="Q33" s="98">
        <f t="shared" si="4"/>
        <v>2</v>
      </c>
      <c r="R33" s="98">
        <f t="shared" si="4"/>
        <v>0</v>
      </c>
      <c r="S33" s="98">
        <f t="shared" si="4"/>
        <v>0</v>
      </c>
      <c r="T33" s="98">
        <f t="shared" si="4"/>
        <v>0</v>
      </c>
      <c r="U33" s="98">
        <f t="shared" si="4"/>
        <v>0</v>
      </c>
      <c r="V33" s="98">
        <f t="shared" si="4"/>
        <v>2</v>
      </c>
      <c r="W33" s="98">
        <f t="shared" si="4"/>
        <v>0</v>
      </c>
      <c r="X33" s="98">
        <f t="shared" si="4"/>
        <v>0</v>
      </c>
      <c r="Y33" s="98">
        <f t="shared" si="4"/>
        <v>0</v>
      </c>
      <c r="Z33" s="98">
        <f t="shared" si="4"/>
        <v>0</v>
      </c>
      <c r="AA33" s="121">
        <f>SUM(F33:Z33)</f>
        <v>29</v>
      </c>
      <c r="AB33" s="122">
        <f t="shared" ref="AB33:AG33" si="5">SUM(AB19:AB32)</f>
        <v>116</v>
      </c>
      <c r="AC33" s="122">
        <f t="shared" si="5"/>
        <v>6</v>
      </c>
      <c r="AD33" s="122">
        <f t="shared" si="5"/>
        <v>12</v>
      </c>
      <c r="AE33" s="122">
        <f t="shared" si="5"/>
        <v>12</v>
      </c>
      <c r="AF33" s="122">
        <f t="shared" si="5"/>
        <v>4</v>
      </c>
      <c r="AG33" s="122">
        <f t="shared" si="5"/>
        <v>7</v>
      </c>
    </row>
    <row r="34" spans="2:33" s="2" customFormat="1" ht="25.5" x14ac:dyDescent="0.25">
      <c r="B34" s="29" t="s">
        <v>59</v>
      </c>
      <c r="C34" s="27" t="s">
        <v>43</v>
      </c>
      <c r="D34" s="27" t="s">
        <v>60</v>
      </c>
      <c r="E34" s="27" t="s">
        <v>61</v>
      </c>
      <c r="F34" s="28">
        <v>0</v>
      </c>
      <c r="G34" s="31">
        <v>0</v>
      </c>
      <c r="H34" s="31">
        <v>1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B34" s="32">
        <v>0</v>
      </c>
      <c r="AC34" s="32">
        <v>0</v>
      </c>
      <c r="AD34" s="32">
        <v>0</v>
      </c>
      <c r="AE34" s="32">
        <v>0</v>
      </c>
      <c r="AF34" s="32">
        <v>0</v>
      </c>
      <c r="AG34" s="32">
        <v>0</v>
      </c>
    </row>
    <row r="35" spans="2:33" s="2" customFormat="1" ht="25.5" x14ac:dyDescent="0.25">
      <c r="B35" s="29" t="s">
        <v>59</v>
      </c>
      <c r="C35" s="27" t="s">
        <v>43</v>
      </c>
      <c r="D35" s="27" t="s">
        <v>62</v>
      </c>
      <c r="E35" s="27" t="s">
        <v>61</v>
      </c>
      <c r="F35" s="28">
        <v>0</v>
      </c>
      <c r="G35" s="31">
        <v>1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31">
        <v>1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31">
        <v>1</v>
      </c>
      <c r="Z35" s="28">
        <v>0</v>
      </c>
      <c r="AB35" s="32">
        <v>0</v>
      </c>
      <c r="AC35" s="32">
        <v>0</v>
      </c>
      <c r="AD35" s="32">
        <v>0</v>
      </c>
      <c r="AE35" s="32">
        <v>0</v>
      </c>
      <c r="AF35" s="32">
        <v>0</v>
      </c>
      <c r="AG35" s="32">
        <v>0</v>
      </c>
    </row>
    <row r="36" spans="2:33" s="2" customFormat="1" ht="25.5" x14ac:dyDescent="0.25">
      <c r="B36" s="29" t="s">
        <v>59</v>
      </c>
      <c r="C36" s="27" t="s">
        <v>43</v>
      </c>
      <c r="D36" s="27" t="s">
        <v>63</v>
      </c>
      <c r="E36" s="27" t="s">
        <v>61</v>
      </c>
      <c r="F36" s="28">
        <v>0</v>
      </c>
      <c r="G36" s="31">
        <v>2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B36" s="35">
        <v>25</v>
      </c>
      <c r="AC36" s="35">
        <v>2</v>
      </c>
      <c r="AD36" s="35">
        <v>3</v>
      </c>
      <c r="AE36" s="35">
        <v>1</v>
      </c>
      <c r="AF36" s="32">
        <v>0</v>
      </c>
      <c r="AG36" s="32">
        <v>0</v>
      </c>
    </row>
    <row r="37" spans="2:33" s="2" customFormat="1" ht="38.25" x14ac:dyDescent="0.25">
      <c r="B37" s="29" t="s">
        <v>59</v>
      </c>
      <c r="C37" s="27" t="s">
        <v>43</v>
      </c>
      <c r="D37" s="27" t="s">
        <v>64</v>
      </c>
      <c r="E37" s="27" t="s">
        <v>61</v>
      </c>
      <c r="F37" s="28">
        <v>0</v>
      </c>
      <c r="G37" s="31">
        <v>1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B37" s="35">
        <v>10</v>
      </c>
      <c r="AC37" s="35">
        <v>2</v>
      </c>
      <c r="AD37" s="32">
        <v>0</v>
      </c>
      <c r="AE37" s="32">
        <v>0</v>
      </c>
      <c r="AF37" s="32">
        <v>0</v>
      </c>
      <c r="AG37" s="32">
        <v>0</v>
      </c>
    </row>
    <row r="38" spans="2:33" s="2" customFormat="1" ht="38.25" x14ac:dyDescent="0.25">
      <c r="B38" s="29" t="s">
        <v>59</v>
      </c>
      <c r="C38" s="27" t="s">
        <v>43</v>
      </c>
      <c r="D38" s="27" t="s">
        <v>65</v>
      </c>
      <c r="E38" s="27" t="s">
        <v>61</v>
      </c>
      <c r="F38" s="28"/>
      <c r="G38" s="31">
        <v>1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B38" s="32">
        <v>0</v>
      </c>
      <c r="AC38" s="32">
        <v>0</v>
      </c>
      <c r="AD38" s="32">
        <v>0</v>
      </c>
      <c r="AE38" s="32">
        <v>0</v>
      </c>
      <c r="AF38" s="32">
        <v>0</v>
      </c>
      <c r="AG38" s="32">
        <v>0</v>
      </c>
    </row>
    <row r="39" spans="2:33" s="2" customFormat="1" ht="25.5" x14ac:dyDescent="0.25">
      <c r="B39" s="29" t="s">
        <v>59</v>
      </c>
      <c r="C39" s="27" t="s">
        <v>66</v>
      </c>
      <c r="D39" s="27" t="s">
        <v>67</v>
      </c>
      <c r="E39" s="27" t="s">
        <v>61</v>
      </c>
      <c r="F39" s="28">
        <v>0</v>
      </c>
      <c r="G39" s="31">
        <v>3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31">
        <v>1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B39" s="35">
        <v>13</v>
      </c>
      <c r="AC39" s="35">
        <v>1</v>
      </c>
      <c r="AD39" s="32">
        <v>0</v>
      </c>
      <c r="AE39" s="32">
        <v>0</v>
      </c>
      <c r="AF39" s="32">
        <v>0</v>
      </c>
      <c r="AG39" s="35">
        <v>2</v>
      </c>
    </row>
    <row r="40" spans="2:33" s="2" customFormat="1" ht="25.5" x14ac:dyDescent="0.25">
      <c r="B40" s="29" t="s">
        <v>59</v>
      </c>
      <c r="C40" s="27" t="s">
        <v>66</v>
      </c>
      <c r="D40" s="27" t="s">
        <v>68</v>
      </c>
      <c r="E40" s="27" t="s">
        <v>61</v>
      </c>
      <c r="F40" s="28">
        <v>0</v>
      </c>
      <c r="G40" s="31">
        <v>2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31">
        <v>1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B40" s="35">
        <v>11</v>
      </c>
      <c r="AC40" s="32">
        <v>0</v>
      </c>
      <c r="AD40" s="32">
        <v>0</v>
      </c>
      <c r="AE40" s="32">
        <v>0</v>
      </c>
      <c r="AF40" s="32">
        <v>0</v>
      </c>
      <c r="AG40" s="35">
        <v>3</v>
      </c>
    </row>
    <row r="41" spans="2:33" s="2" customFormat="1" ht="25.5" x14ac:dyDescent="0.25">
      <c r="B41" s="29" t="s">
        <v>59</v>
      </c>
      <c r="C41" s="27" t="s">
        <v>66</v>
      </c>
      <c r="D41" s="27" t="s">
        <v>69</v>
      </c>
      <c r="E41" s="27" t="s">
        <v>61</v>
      </c>
      <c r="F41" s="28">
        <v>0</v>
      </c>
      <c r="G41" s="31">
        <v>2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B41" s="35">
        <v>9</v>
      </c>
      <c r="AC41" s="35">
        <v>1</v>
      </c>
      <c r="AD41" s="35">
        <v>1</v>
      </c>
      <c r="AE41" s="35">
        <v>1</v>
      </c>
      <c r="AF41" s="32">
        <v>0</v>
      </c>
      <c r="AG41" s="35">
        <v>4</v>
      </c>
    </row>
    <row r="42" spans="2:33" s="2" customFormat="1" ht="25.5" x14ac:dyDescent="0.25">
      <c r="B42" s="29" t="s">
        <v>59</v>
      </c>
      <c r="C42" s="27" t="s">
        <v>66</v>
      </c>
      <c r="D42" s="27" t="s">
        <v>188</v>
      </c>
      <c r="E42" s="27" t="s">
        <v>61</v>
      </c>
      <c r="F42" s="28">
        <v>0</v>
      </c>
      <c r="G42" s="31">
        <v>3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B42" s="35">
        <v>11</v>
      </c>
      <c r="AC42" s="35">
        <v>1</v>
      </c>
      <c r="AD42" s="35">
        <v>1</v>
      </c>
      <c r="AE42" s="35">
        <v>1</v>
      </c>
      <c r="AF42" s="32">
        <v>0</v>
      </c>
      <c r="AG42" s="35">
        <v>3</v>
      </c>
    </row>
    <row r="43" spans="2:33" s="2" customFormat="1" ht="25.5" x14ac:dyDescent="0.25">
      <c r="B43" s="29" t="s">
        <v>59</v>
      </c>
      <c r="C43" s="27" t="s">
        <v>66</v>
      </c>
      <c r="D43" s="27" t="s">
        <v>189</v>
      </c>
      <c r="E43" s="27" t="s">
        <v>70</v>
      </c>
      <c r="F43" s="28">
        <v>0</v>
      </c>
      <c r="G43" s="31">
        <v>2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B43" s="35">
        <v>13</v>
      </c>
      <c r="AC43" s="35">
        <v>1</v>
      </c>
      <c r="AD43" s="35">
        <v>1</v>
      </c>
      <c r="AE43" s="35">
        <v>1</v>
      </c>
      <c r="AF43" s="32">
        <v>0</v>
      </c>
      <c r="AG43" s="35">
        <v>2</v>
      </c>
    </row>
    <row r="44" spans="2:33" s="2" customFormat="1" ht="25.5" x14ac:dyDescent="0.25">
      <c r="B44" s="29" t="s">
        <v>59</v>
      </c>
      <c r="C44" s="27" t="s">
        <v>66</v>
      </c>
      <c r="D44" s="27" t="s">
        <v>190</v>
      </c>
      <c r="E44" s="27" t="s">
        <v>71</v>
      </c>
      <c r="F44" s="28">
        <v>0</v>
      </c>
      <c r="G44" s="31">
        <v>1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B44" s="35">
        <v>8</v>
      </c>
      <c r="AC44" s="35">
        <v>1</v>
      </c>
      <c r="AD44" s="35">
        <v>1</v>
      </c>
      <c r="AE44" s="35">
        <v>1</v>
      </c>
      <c r="AF44" s="32">
        <v>0</v>
      </c>
      <c r="AG44" s="35">
        <v>1</v>
      </c>
    </row>
    <row r="45" spans="2:33" s="2" customFormat="1" ht="25.5" x14ac:dyDescent="0.25">
      <c r="B45" s="29" t="s">
        <v>59</v>
      </c>
      <c r="C45" s="27" t="s">
        <v>66</v>
      </c>
      <c r="D45" s="27" t="s">
        <v>72</v>
      </c>
      <c r="E45" s="27" t="s">
        <v>73</v>
      </c>
      <c r="F45" s="28">
        <v>0</v>
      </c>
      <c r="G45" s="31">
        <v>1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</row>
    <row r="46" spans="2:33" s="2" customFormat="1" ht="25.5" x14ac:dyDescent="0.25">
      <c r="B46" s="29" t="s">
        <v>59</v>
      </c>
      <c r="C46" s="27" t="s">
        <v>155</v>
      </c>
      <c r="D46" s="27" t="s">
        <v>191</v>
      </c>
      <c r="E46" s="27" t="s">
        <v>71</v>
      </c>
      <c r="F46" s="28">
        <v>0</v>
      </c>
      <c r="G46" s="31">
        <v>2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58">
        <f>(AA48/30)*30</f>
        <v>587248682.22106588</v>
      </c>
      <c r="AB46" s="35">
        <v>8</v>
      </c>
      <c r="AC46" s="35">
        <v>1</v>
      </c>
      <c r="AD46" s="35">
        <v>1</v>
      </c>
      <c r="AE46" s="35">
        <v>1</v>
      </c>
      <c r="AF46" s="32">
        <v>0</v>
      </c>
      <c r="AG46" s="35">
        <v>3</v>
      </c>
    </row>
    <row r="47" spans="2:33" s="2" customFormat="1" ht="25.5" x14ac:dyDescent="0.25">
      <c r="B47" s="29" t="s">
        <v>59</v>
      </c>
      <c r="C47" s="27" t="s">
        <v>155</v>
      </c>
      <c r="D47" s="27" t="s">
        <v>172</v>
      </c>
      <c r="E47" s="27" t="s">
        <v>61</v>
      </c>
      <c r="F47" s="28">
        <v>0</v>
      </c>
      <c r="G47" s="31">
        <v>3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32">
        <v>0</v>
      </c>
    </row>
    <row r="48" spans="2:33" s="2" customFormat="1" ht="25.5" x14ac:dyDescent="0.25">
      <c r="B48" s="29" t="s">
        <v>59</v>
      </c>
      <c r="C48" s="27" t="s">
        <v>155</v>
      </c>
      <c r="D48" s="27" t="s">
        <v>173</v>
      </c>
      <c r="E48" s="27" t="s">
        <v>127</v>
      </c>
      <c r="F48" s="28">
        <v>0</v>
      </c>
      <c r="G48" s="31">
        <v>5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58">
        <f>+(G49*G97)+(H49*H97)+(P49*P97)+(Q49*Q97)+(Y49*Y97)</f>
        <v>587248682.22106588</v>
      </c>
      <c r="AB48" s="32">
        <v>0</v>
      </c>
      <c r="AC48" s="32">
        <v>0</v>
      </c>
      <c r="AD48" s="32">
        <v>0</v>
      </c>
      <c r="AE48" s="32">
        <v>0</v>
      </c>
      <c r="AF48" s="32">
        <v>0</v>
      </c>
      <c r="AG48" s="32">
        <v>0</v>
      </c>
    </row>
    <row r="49" spans="1:33" s="53" customFormat="1" ht="22.5" x14ac:dyDescent="0.25">
      <c r="B49" s="164" t="s">
        <v>74</v>
      </c>
      <c r="C49" s="164"/>
      <c r="D49" s="164"/>
      <c r="E49" s="164"/>
      <c r="F49" s="98">
        <f t="shared" ref="F49:Z49" si="6">SUM(F34:F48)</f>
        <v>0</v>
      </c>
      <c r="G49" s="98">
        <f t="shared" si="6"/>
        <v>29</v>
      </c>
      <c r="H49" s="98">
        <f t="shared" si="6"/>
        <v>1</v>
      </c>
      <c r="I49" s="98">
        <f t="shared" si="6"/>
        <v>0</v>
      </c>
      <c r="J49" s="98">
        <f t="shared" si="6"/>
        <v>0</v>
      </c>
      <c r="K49" s="98">
        <f t="shared" si="6"/>
        <v>0</v>
      </c>
      <c r="L49" s="98">
        <f t="shared" si="6"/>
        <v>0</v>
      </c>
      <c r="M49" s="98">
        <f t="shared" si="6"/>
        <v>0</v>
      </c>
      <c r="N49" s="98">
        <f t="shared" si="6"/>
        <v>0</v>
      </c>
      <c r="O49" s="98">
        <f t="shared" si="6"/>
        <v>0</v>
      </c>
      <c r="P49" s="98">
        <f t="shared" si="6"/>
        <v>1</v>
      </c>
      <c r="Q49" s="98">
        <f t="shared" si="6"/>
        <v>2</v>
      </c>
      <c r="R49" s="98">
        <f t="shared" si="6"/>
        <v>0</v>
      </c>
      <c r="S49" s="98">
        <f t="shared" si="6"/>
        <v>0</v>
      </c>
      <c r="T49" s="98">
        <f t="shared" si="6"/>
        <v>0</v>
      </c>
      <c r="U49" s="98">
        <f t="shared" si="6"/>
        <v>0</v>
      </c>
      <c r="V49" s="98">
        <f t="shared" si="6"/>
        <v>0</v>
      </c>
      <c r="W49" s="98">
        <f t="shared" si="6"/>
        <v>0</v>
      </c>
      <c r="X49" s="98">
        <f t="shared" si="6"/>
        <v>0</v>
      </c>
      <c r="Y49" s="98">
        <f t="shared" si="6"/>
        <v>1</v>
      </c>
      <c r="Z49" s="98">
        <f t="shared" si="6"/>
        <v>0</v>
      </c>
      <c r="AA49" s="121">
        <f>SUM(F49:Z49)</f>
        <v>34</v>
      </c>
      <c r="AB49" s="122">
        <f>SUM(AB34:AB48)</f>
        <v>108</v>
      </c>
      <c r="AC49" s="122">
        <f t="shared" ref="AC49:AG49" si="7">SUM(AC34:AC48)</f>
        <v>10</v>
      </c>
      <c r="AD49" s="122">
        <f t="shared" si="7"/>
        <v>8</v>
      </c>
      <c r="AE49" s="122">
        <f t="shared" si="7"/>
        <v>6</v>
      </c>
      <c r="AF49" s="122">
        <f t="shared" si="7"/>
        <v>0</v>
      </c>
      <c r="AG49" s="122">
        <f t="shared" si="7"/>
        <v>18</v>
      </c>
    </row>
    <row r="50" spans="1:33" s="2" customFormat="1" ht="25.5" x14ac:dyDescent="0.25">
      <c r="B50" s="29" t="s">
        <v>75</v>
      </c>
      <c r="C50" s="27" t="s">
        <v>198</v>
      </c>
      <c r="D50" s="27" t="s">
        <v>196</v>
      </c>
      <c r="E50" s="27" t="s">
        <v>128</v>
      </c>
      <c r="F50" s="28">
        <v>0</v>
      </c>
      <c r="G50" s="31">
        <v>7</v>
      </c>
      <c r="H50" s="31">
        <v>1</v>
      </c>
      <c r="I50" s="28"/>
      <c r="J50" s="28"/>
      <c r="K50" s="28"/>
      <c r="L50" s="28">
        <v>0</v>
      </c>
      <c r="M50" s="28">
        <v>0</v>
      </c>
      <c r="N50" s="28">
        <v>0</v>
      </c>
      <c r="O50" s="28">
        <v>0</v>
      </c>
      <c r="P50" s="31">
        <v>1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B50" s="35">
        <v>45</v>
      </c>
      <c r="AC50" s="35">
        <v>2</v>
      </c>
      <c r="AD50" s="35">
        <v>2</v>
      </c>
      <c r="AE50" s="35">
        <v>2</v>
      </c>
      <c r="AF50" s="32">
        <v>0</v>
      </c>
      <c r="AG50" s="35">
        <v>1</v>
      </c>
    </row>
    <row r="51" spans="1:33" s="2" customFormat="1" ht="25.5" x14ac:dyDescent="0.25">
      <c r="B51" s="29" t="s">
        <v>75</v>
      </c>
      <c r="C51" s="27" t="s">
        <v>198</v>
      </c>
      <c r="D51" s="27" t="s">
        <v>76</v>
      </c>
      <c r="E51" s="27" t="s">
        <v>128</v>
      </c>
      <c r="F51" s="28">
        <v>0</v>
      </c>
      <c r="G51" s="31">
        <v>1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31">
        <v>1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B51" s="35">
        <v>6</v>
      </c>
      <c r="AC51" s="35">
        <v>1</v>
      </c>
      <c r="AD51" s="35">
        <v>1</v>
      </c>
      <c r="AE51" s="35">
        <v>1</v>
      </c>
      <c r="AF51" s="32">
        <v>0</v>
      </c>
      <c r="AG51" s="35">
        <v>1</v>
      </c>
    </row>
    <row r="52" spans="1:33" s="2" customFormat="1" ht="25.5" x14ac:dyDescent="0.25">
      <c r="B52" s="29" t="s">
        <v>75</v>
      </c>
      <c r="C52" s="27" t="s">
        <v>198</v>
      </c>
      <c r="D52" s="27" t="s">
        <v>156</v>
      </c>
      <c r="E52" s="27" t="s">
        <v>128</v>
      </c>
      <c r="F52" s="28">
        <v>0</v>
      </c>
      <c r="G52" s="31">
        <v>3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B52" s="35">
        <f>25</f>
        <v>25</v>
      </c>
      <c r="AC52" s="32">
        <v>0</v>
      </c>
      <c r="AD52" s="35">
        <f>2</f>
        <v>2</v>
      </c>
      <c r="AE52" s="35">
        <v>2</v>
      </c>
      <c r="AF52" s="32">
        <v>0</v>
      </c>
      <c r="AG52" s="35">
        <v>1</v>
      </c>
    </row>
    <row r="53" spans="1:33" s="2" customFormat="1" ht="38.25" x14ac:dyDescent="0.25">
      <c r="B53" s="29" t="s">
        <v>75</v>
      </c>
      <c r="C53" s="27" t="s">
        <v>169</v>
      </c>
      <c r="D53" s="27" t="s">
        <v>157</v>
      </c>
      <c r="E53" s="27" t="s">
        <v>128</v>
      </c>
      <c r="F53" s="28">
        <v>0</v>
      </c>
      <c r="G53" s="31">
        <v>6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B53" s="35">
        <v>25</v>
      </c>
      <c r="AC53" s="35">
        <v>1</v>
      </c>
      <c r="AD53" s="35">
        <v>1</v>
      </c>
      <c r="AE53" s="35">
        <v>1</v>
      </c>
      <c r="AF53" s="32">
        <v>0</v>
      </c>
      <c r="AG53" s="35">
        <v>1</v>
      </c>
    </row>
    <row r="54" spans="1:33" s="2" customFormat="1" ht="25.5" x14ac:dyDescent="0.25">
      <c r="B54" s="29" t="s">
        <v>75</v>
      </c>
      <c r="C54" s="27" t="s">
        <v>198</v>
      </c>
      <c r="D54" s="27" t="s">
        <v>170</v>
      </c>
      <c r="E54" s="27" t="s">
        <v>159</v>
      </c>
      <c r="F54" s="28">
        <v>0</v>
      </c>
      <c r="G54" s="31">
        <v>4</v>
      </c>
      <c r="H54" s="31">
        <v>1</v>
      </c>
      <c r="I54" s="28"/>
      <c r="J54" s="28"/>
      <c r="K54" s="28"/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58">
        <f>(AA56/30)*30</f>
        <v>600194756.76970828</v>
      </c>
      <c r="AB54" s="32">
        <v>0</v>
      </c>
      <c r="AC54" s="32">
        <v>0</v>
      </c>
      <c r="AD54" s="32">
        <v>0</v>
      </c>
      <c r="AE54" s="32">
        <v>0</v>
      </c>
      <c r="AF54" s="32">
        <v>0</v>
      </c>
      <c r="AG54" s="32">
        <v>0</v>
      </c>
    </row>
    <row r="55" spans="1:33" s="2" customFormat="1" ht="25.5" x14ac:dyDescent="0.25">
      <c r="B55" s="29" t="s">
        <v>75</v>
      </c>
      <c r="C55" s="27" t="s">
        <v>169</v>
      </c>
      <c r="D55" s="27" t="s">
        <v>158</v>
      </c>
      <c r="E55" s="27" t="s">
        <v>129</v>
      </c>
      <c r="F55" s="28">
        <v>0</v>
      </c>
      <c r="G55" s="31">
        <v>7</v>
      </c>
      <c r="H55" s="28">
        <v>0</v>
      </c>
      <c r="I55" s="28">
        <v>0</v>
      </c>
      <c r="J55" s="28">
        <v>0</v>
      </c>
      <c r="K55" s="28">
        <v>0</v>
      </c>
      <c r="L55" s="28"/>
      <c r="M55" s="28"/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B55" s="35">
        <v>15</v>
      </c>
      <c r="AC55" s="35">
        <v>1</v>
      </c>
      <c r="AD55" s="35">
        <v>1</v>
      </c>
      <c r="AE55" s="35">
        <v>1</v>
      </c>
      <c r="AF55" s="32">
        <v>0</v>
      </c>
      <c r="AG55" s="35">
        <v>1</v>
      </c>
    </row>
    <row r="56" spans="1:33" s="2" customFormat="1" ht="25.5" x14ac:dyDescent="0.25">
      <c r="A56" s="2">
        <v>0</v>
      </c>
      <c r="B56" s="29" t="s">
        <v>75</v>
      </c>
      <c r="C56" s="27" t="s">
        <v>169</v>
      </c>
      <c r="D56" s="27" t="s">
        <v>174</v>
      </c>
      <c r="E56" s="27" t="s">
        <v>129</v>
      </c>
      <c r="F56" s="28">
        <v>0</v>
      </c>
      <c r="G56" s="31">
        <v>1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31">
        <v>1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58">
        <f>+(G57*G97)+(H57*H97)+(P57*P97)</f>
        <v>600194756.76970828</v>
      </c>
      <c r="AB56" s="35">
        <v>5</v>
      </c>
      <c r="AC56" s="35">
        <v>0</v>
      </c>
      <c r="AD56" s="35">
        <v>1</v>
      </c>
      <c r="AE56" s="35">
        <v>1</v>
      </c>
      <c r="AF56" s="32">
        <v>0</v>
      </c>
      <c r="AG56" s="35">
        <v>1</v>
      </c>
    </row>
    <row r="57" spans="1:33" s="53" customFormat="1" ht="22.5" x14ac:dyDescent="0.25">
      <c r="B57" s="164" t="s">
        <v>77</v>
      </c>
      <c r="C57" s="164"/>
      <c r="D57" s="164"/>
      <c r="E57" s="164"/>
      <c r="F57" s="98">
        <f>SUM(F50:F56)</f>
        <v>0</v>
      </c>
      <c r="G57" s="98">
        <f>SUM(G50:G56)</f>
        <v>29</v>
      </c>
      <c r="H57" s="98">
        <f t="shared" ref="H57:Z57" si="8">SUM(H50:H56)</f>
        <v>2</v>
      </c>
      <c r="I57" s="98">
        <f t="shared" si="8"/>
        <v>0</v>
      </c>
      <c r="J57" s="98">
        <f t="shared" si="8"/>
        <v>0</v>
      </c>
      <c r="K57" s="98">
        <f t="shared" si="8"/>
        <v>0</v>
      </c>
      <c r="L57" s="98">
        <f t="shared" si="8"/>
        <v>0</v>
      </c>
      <c r="M57" s="98">
        <f t="shared" si="8"/>
        <v>0</v>
      </c>
      <c r="N57" s="98">
        <f t="shared" si="8"/>
        <v>0</v>
      </c>
      <c r="O57" s="98">
        <f t="shared" si="8"/>
        <v>0</v>
      </c>
      <c r="P57" s="98">
        <f t="shared" si="8"/>
        <v>3</v>
      </c>
      <c r="Q57" s="98">
        <f t="shared" si="8"/>
        <v>0</v>
      </c>
      <c r="R57" s="98">
        <f t="shared" si="8"/>
        <v>0</v>
      </c>
      <c r="S57" s="98">
        <f t="shared" si="8"/>
        <v>0</v>
      </c>
      <c r="T57" s="98">
        <f t="shared" si="8"/>
        <v>0</v>
      </c>
      <c r="U57" s="98">
        <f t="shared" si="8"/>
        <v>0</v>
      </c>
      <c r="V57" s="98">
        <f t="shared" si="8"/>
        <v>0</v>
      </c>
      <c r="W57" s="98">
        <f t="shared" si="8"/>
        <v>0</v>
      </c>
      <c r="X57" s="98">
        <f t="shared" si="8"/>
        <v>0</v>
      </c>
      <c r="Y57" s="98">
        <f t="shared" si="8"/>
        <v>0</v>
      </c>
      <c r="Z57" s="98">
        <f t="shared" si="8"/>
        <v>0</v>
      </c>
      <c r="AA57" s="121">
        <f>SUM(F57:Z57)</f>
        <v>34</v>
      </c>
      <c r="AB57" s="123">
        <f>SUM(AB50:AB56)</f>
        <v>121</v>
      </c>
      <c r="AC57" s="123">
        <f t="shared" ref="AC57:AG57" si="9">SUM(AC50:AC56)</f>
        <v>5</v>
      </c>
      <c r="AD57" s="123">
        <f t="shared" si="9"/>
        <v>8</v>
      </c>
      <c r="AE57" s="123">
        <f t="shared" si="9"/>
        <v>8</v>
      </c>
      <c r="AF57" s="123">
        <f t="shared" si="9"/>
        <v>0</v>
      </c>
      <c r="AG57" s="123">
        <f t="shared" si="9"/>
        <v>6</v>
      </c>
    </row>
    <row r="58" spans="1:33" s="2" customFormat="1" x14ac:dyDescent="0.25">
      <c r="B58" s="29" t="s">
        <v>78</v>
      </c>
      <c r="C58" s="27" t="s">
        <v>33</v>
      </c>
      <c r="D58" s="27" t="s">
        <v>160</v>
      </c>
      <c r="E58" s="27" t="s">
        <v>119</v>
      </c>
      <c r="F58" s="28">
        <v>0</v>
      </c>
      <c r="G58" s="31">
        <v>5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B58" s="35">
        <v>26</v>
      </c>
      <c r="AC58" s="35">
        <v>3</v>
      </c>
      <c r="AD58" s="35">
        <v>1</v>
      </c>
      <c r="AE58" s="35">
        <v>1</v>
      </c>
      <c r="AF58" s="35">
        <v>1</v>
      </c>
      <c r="AG58" s="35">
        <v>2</v>
      </c>
    </row>
    <row r="59" spans="1:33" s="2" customFormat="1" x14ac:dyDescent="0.25">
      <c r="B59" s="29" t="s">
        <v>78</v>
      </c>
      <c r="C59" s="27" t="s">
        <v>43</v>
      </c>
      <c r="D59" s="27" t="s">
        <v>164</v>
      </c>
      <c r="E59" s="27" t="s">
        <v>119</v>
      </c>
      <c r="F59" s="28">
        <v>0</v>
      </c>
      <c r="G59" s="31">
        <v>1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B59" s="32">
        <v>0</v>
      </c>
      <c r="AC59" s="32">
        <v>0</v>
      </c>
      <c r="AD59" s="32">
        <v>0</v>
      </c>
      <c r="AE59" s="32">
        <v>0</v>
      </c>
      <c r="AF59" s="32">
        <v>0</v>
      </c>
      <c r="AG59" s="32">
        <v>0</v>
      </c>
    </row>
    <row r="60" spans="1:33" s="2" customFormat="1" ht="25.5" x14ac:dyDescent="0.25">
      <c r="B60" s="30" t="s">
        <v>78</v>
      </c>
      <c r="C60" s="27" t="s">
        <v>79</v>
      </c>
      <c r="D60" s="27" t="s">
        <v>161</v>
      </c>
      <c r="E60" s="27" t="s">
        <v>119</v>
      </c>
      <c r="F60" s="28">
        <v>0</v>
      </c>
      <c r="G60" s="36">
        <v>1</v>
      </c>
      <c r="H60" s="31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B60" s="32">
        <v>0</v>
      </c>
      <c r="AC60" s="32">
        <v>0</v>
      </c>
      <c r="AD60" s="32">
        <v>0</v>
      </c>
      <c r="AE60" s="32">
        <v>0</v>
      </c>
      <c r="AF60" s="32">
        <v>0</v>
      </c>
      <c r="AG60" s="32">
        <v>0</v>
      </c>
    </row>
    <row r="61" spans="1:33" s="2" customFormat="1" ht="25.5" x14ac:dyDescent="0.25">
      <c r="B61" s="30" t="s">
        <v>78</v>
      </c>
      <c r="C61" s="27" t="s">
        <v>79</v>
      </c>
      <c r="D61" s="27" t="s">
        <v>162</v>
      </c>
      <c r="E61" s="27" t="s">
        <v>119</v>
      </c>
      <c r="F61" s="28">
        <v>0</v>
      </c>
      <c r="G61" s="36">
        <v>3</v>
      </c>
      <c r="H61" s="31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B61" s="35">
        <v>16</v>
      </c>
      <c r="AC61" s="32">
        <v>0</v>
      </c>
      <c r="AD61" s="35">
        <v>1</v>
      </c>
      <c r="AE61" s="35">
        <v>1</v>
      </c>
      <c r="AF61" s="35">
        <v>1</v>
      </c>
      <c r="AG61" s="35">
        <v>1</v>
      </c>
    </row>
    <row r="62" spans="1:33" s="2" customFormat="1" ht="25.5" x14ac:dyDescent="0.25">
      <c r="B62" s="30" t="s">
        <v>78</v>
      </c>
      <c r="C62" s="27" t="s">
        <v>79</v>
      </c>
      <c r="D62" s="27" t="s">
        <v>163</v>
      </c>
      <c r="E62" s="27" t="s">
        <v>119</v>
      </c>
      <c r="F62" s="28">
        <v>0</v>
      </c>
      <c r="G62" s="36">
        <v>1</v>
      </c>
      <c r="H62" s="31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B62" s="32">
        <v>0</v>
      </c>
      <c r="AC62" s="32">
        <v>0</v>
      </c>
      <c r="AD62" s="32">
        <v>0</v>
      </c>
      <c r="AE62" s="32">
        <v>0</v>
      </c>
      <c r="AF62" s="32">
        <v>0</v>
      </c>
      <c r="AG62" s="32">
        <v>0</v>
      </c>
    </row>
    <row r="63" spans="1:33" s="2" customFormat="1" ht="38.25" x14ac:dyDescent="0.25">
      <c r="B63" s="30" t="s">
        <v>78</v>
      </c>
      <c r="C63" s="27" t="s">
        <v>79</v>
      </c>
      <c r="D63" s="27" t="s">
        <v>80</v>
      </c>
      <c r="E63" s="27" t="s">
        <v>119</v>
      </c>
      <c r="F63" s="28">
        <v>0</v>
      </c>
      <c r="G63" s="36">
        <v>2</v>
      </c>
      <c r="H63" s="31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B63" s="35">
        <v>23</v>
      </c>
      <c r="AC63" s="32">
        <v>0</v>
      </c>
      <c r="AD63" s="35">
        <v>1</v>
      </c>
      <c r="AE63" s="35">
        <v>1</v>
      </c>
      <c r="AF63" s="35">
        <v>1</v>
      </c>
      <c r="AG63" s="35">
        <v>1</v>
      </c>
    </row>
    <row r="64" spans="1:33" s="2" customFormat="1" ht="25.5" x14ac:dyDescent="0.25">
      <c r="B64" s="29" t="s">
        <v>78</v>
      </c>
      <c r="C64" s="27" t="s">
        <v>81</v>
      </c>
      <c r="D64" s="27" t="s">
        <v>82</v>
      </c>
      <c r="E64" s="27" t="s">
        <v>130</v>
      </c>
      <c r="F64" s="28">
        <v>0</v>
      </c>
      <c r="G64" s="31">
        <v>4</v>
      </c>
      <c r="H64" s="28">
        <v>0</v>
      </c>
      <c r="I64" s="28">
        <v>0</v>
      </c>
      <c r="J64" s="28">
        <v>0</v>
      </c>
      <c r="K64" s="28">
        <v>0</v>
      </c>
      <c r="L64" s="31">
        <v>1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31">
        <v>1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B64" s="35">
        <v>28</v>
      </c>
      <c r="AC64" s="35">
        <v>4</v>
      </c>
      <c r="AD64" s="35">
        <v>2</v>
      </c>
      <c r="AE64" s="35">
        <v>2</v>
      </c>
      <c r="AF64" s="35">
        <v>2</v>
      </c>
      <c r="AG64" s="35">
        <v>5</v>
      </c>
    </row>
    <row r="65" spans="2:33" s="2" customFormat="1" ht="25.5" x14ac:dyDescent="0.25">
      <c r="B65" s="29" t="s">
        <v>78</v>
      </c>
      <c r="C65" s="27" t="s">
        <v>83</v>
      </c>
      <c r="D65" s="27" t="s">
        <v>141</v>
      </c>
      <c r="E65" s="27" t="s">
        <v>131</v>
      </c>
      <c r="F65" s="31">
        <v>2</v>
      </c>
      <c r="G65" s="31">
        <v>3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B65" s="35">
        <v>19</v>
      </c>
      <c r="AC65" s="35">
        <v>4</v>
      </c>
      <c r="AD65" s="116">
        <v>2</v>
      </c>
      <c r="AE65" s="116">
        <v>2</v>
      </c>
      <c r="AF65" s="116">
        <v>2</v>
      </c>
      <c r="AG65" s="116">
        <v>5</v>
      </c>
    </row>
    <row r="66" spans="2:33" s="2" customFormat="1" ht="25.5" x14ac:dyDescent="0.25">
      <c r="B66" s="30" t="s">
        <v>78</v>
      </c>
      <c r="C66" s="27" t="s">
        <v>84</v>
      </c>
      <c r="D66" s="27" t="s">
        <v>85</v>
      </c>
      <c r="E66" s="27" t="s">
        <v>132</v>
      </c>
      <c r="F66" s="36">
        <v>1</v>
      </c>
      <c r="G66" s="36">
        <v>5</v>
      </c>
      <c r="H66" s="31">
        <v>1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B66" s="35">
        <v>67</v>
      </c>
      <c r="AC66" s="35">
        <v>2</v>
      </c>
      <c r="AD66" s="35">
        <v>3</v>
      </c>
      <c r="AE66" s="35">
        <v>3</v>
      </c>
      <c r="AF66" s="35">
        <v>1</v>
      </c>
      <c r="AG66" s="35">
        <v>3</v>
      </c>
    </row>
    <row r="67" spans="2:33" s="2" customFormat="1" ht="30" customHeight="1" x14ac:dyDescent="0.25">
      <c r="B67" s="30" t="s">
        <v>78</v>
      </c>
      <c r="C67" s="27" t="s">
        <v>84</v>
      </c>
      <c r="D67" s="27" t="s">
        <v>140</v>
      </c>
      <c r="E67" s="27" t="s">
        <v>132</v>
      </c>
      <c r="F67" s="28">
        <v>0</v>
      </c>
      <c r="G67" s="36">
        <v>1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B67" s="35">
        <v>8</v>
      </c>
      <c r="AC67" s="35">
        <v>1</v>
      </c>
      <c r="AD67" s="35">
        <v>1</v>
      </c>
      <c r="AE67" s="35">
        <v>1</v>
      </c>
      <c r="AF67" s="32">
        <v>0</v>
      </c>
      <c r="AG67" s="32">
        <v>0</v>
      </c>
    </row>
    <row r="68" spans="2:33" s="2" customFormat="1" ht="30" customHeight="1" x14ac:dyDescent="0.25">
      <c r="B68" s="30" t="s">
        <v>78</v>
      </c>
      <c r="C68" s="27" t="s">
        <v>84</v>
      </c>
      <c r="D68" s="27" t="s">
        <v>86</v>
      </c>
      <c r="E68" s="27" t="s">
        <v>132</v>
      </c>
      <c r="F68" s="28">
        <v>0</v>
      </c>
      <c r="G68" s="36">
        <v>2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B68" s="32">
        <v>0</v>
      </c>
      <c r="AC68" s="32">
        <v>0</v>
      </c>
      <c r="AD68" s="32">
        <v>0</v>
      </c>
      <c r="AE68" s="32">
        <v>0</v>
      </c>
      <c r="AF68" s="32">
        <v>0</v>
      </c>
      <c r="AG68" s="32">
        <v>0</v>
      </c>
    </row>
    <row r="69" spans="2:33" s="2" customFormat="1" ht="30" customHeight="1" x14ac:dyDescent="0.25">
      <c r="B69" s="29" t="s">
        <v>78</v>
      </c>
      <c r="C69" s="27" t="s">
        <v>87</v>
      </c>
      <c r="D69" s="27" t="s">
        <v>165</v>
      </c>
      <c r="E69" s="27" t="s">
        <v>132</v>
      </c>
      <c r="F69" s="28">
        <v>0</v>
      </c>
      <c r="G69" s="31">
        <v>2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B69" s="35">
        <v>13</v>
      </c>
      <c r="AC69" s="35">
        <v>3</v>
      </c>
      <c r="AD69" s="35">
        <v>1</v>
      </c>
      <c r="AE69" s="35">
        <v>1</v>
      </c>
      <c r="AF69" s="32">
        <v>0</v>
      </c>
      <c r="AG69" s="32">
        <v>0</v>
      </c>
    </row>
    <row r="70" spans="2:33" s="2" customFormat="1" ht="30" customHeight="1" x14ac:dyDescent="0.25">
      <c r="B70" s="29" t="s">
        <v>78</v>
      </c>
      <c r="C70" s="27" t="s">
        <v>87</v>
      </c>
      <c r="D70" s="27" t="s">
        <v>142</v>
      </c>
      <c r="E70" s="27" t="s">
        <v>132</v>
      </c>
      <c r="F70" s="28">
        <v>0</v>
      </c>
      <c r="G70" s="31">
        <v>1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B70" s="32">
        <v>0</v>
      </c>
      <c r="AC70" s="32">
        <v>0</v>
      </c>
      <c r="AD70" s="32">
        <v>0</v>
      </c>
      <c r="AE70" s="32">
        <v>0</v>
      </c>
      <c r="AF70" s="32">
        <v>0</v>
      </c>
      <c r="AG70" s="32">
        <v>0</v>
      </c>
    </row>
    <row r="71" spans="2:33" s="2" customFormat="1" ht="30" customHeight="1" x14ac:dyDescent="0.25">
      <c r="B71" s="29" t="s">
        <v>78</v>
      </c>
      <c r="C71" s="27" t="s">
        <v>87</v>
      </c>
      <c r="D71" s="27" t="s">
        <v>88</v>
      </c>
      <c r="E71" s="27" t="s">
        <v>133</v>
      </c>
      <c r="F71" s="28">
        <v>0</v>
      </c>
      <c r="G71" s="31">
        <v>3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31">
        <v>1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B71" s="35">
        <v>28</v>
      </c>
      <c r="AC71" s="35">
        <v>4</v>
      </c>
      <c r="AD71" s="32">
        <v>0</v>
      </c>
      <c r="AE71" s="32">
        <v>0</v>
      </c>
      <c r="AF71" s="35">
        <v>1</v>
      </c>
      <c r="AG71" s="35">
        <v>1</v>
      </c>
    </row>
    <row r="72" spans="2:33" s="2" customFormat="1" ht="30" customHeight="1" x14ac:dyDescent="0.25">
      <c r="B72" s="29" t="s">
        <v>78</v>
      </c>
      <c r="C72" s="27" t="s">
        <v>87</v>
      </c>
      <c r="D72" s="27" t="s">
        <v>192</v>
      </c>
      <c r="E72" s="27" t="s">
        <v>119</v>
      </c>
      <c r="F72" s="28">
        <v>0</v>
      </c>
      <c r="G72" s="31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31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B72" s="32">
        <v>0</v>
      </c>
      <c r="AC72" s="32">
        <v>0</v>
      </c>
      <c r="AD72" s="32">
        <v>0</v>
      </c>
      <c r="AE72" s="32">
        <v>0</v>
      </c>
      <c r="AF72" s="32">
        <v>0</v>
      </c>
      <c r="AG72" s="32">
        <v>0</v>
      </c>
    </row>
    <row r="73" spans="2:33" s="2" customFormat="1" ht="30" customHeight="1" x14ac:dyDescent="0.25">
      <c r="B73" s="30" t="s">
        <v>78</v>
      </c>
      <c r="C73" s="27" t="s">
        <v>89</v>
      </c>
      <c r="D73" s="27" t="s">
        <v>175</v>
      </c>
      <c r="E73" s="27" t="s">
        <v>120</v>
      </c>
      <c r="F73" s="33">
        <v>0</v>
      </c>
      <c r="G73" s="37">
        <v>3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34">
        <v>0</v>
      </c>
      <c r="V73" s="34">
        <v>0</v>
      </c>
      <c r="W73" s="34">
        <v>0</v>
      </c>
      <c r="X73" s="28">
        <v>0</v>
      </c>
      <c r="Y73" s="28">
        <v>0</v>
      </c>
      <c r="Z73" s="28">
        <v>0</v>
      </c>
      <c r="AB73" s="35">
        <v>24</v>
      </c>
      <c r="AC73" s="35">
        <v>1</v>
      </c>
      <c r="AD73" s="35">
        <v>1</v>
      </c>
      <c r="AE73" s="35">
        <v>1</v>
      </c>
      <c r="AF73" s="32">
        <v>0</v>
      </c>
      <c r="AG73" s="35">
        <v>4</v>
      </c>
    </row>
    <row r="74" spans="2:33" s="2" customFormat="1" ht="30" customHeight="1" x14ac:dyDescent="0.25">
      <c r="B74" s="30" t="s">
        <v>78</v>
      </c>
      <c r="C74" s="27" t="s">
        <v>89</v>
      </c>
      <c r="D74" s="27" t="s">
        <v>176</v>
      </c>
      <c r="E74" s="27" t="s">
        <v>118</v>
      </c>
      <c r="F74" s="33">
        <v>0</v>
      </c>
      <c r="G74" s="37">
        <v>1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34">
        <v>0</v>
      </c>
      <c r="V74" s="34">
        <v>0</v>
      </c>
      <c r="W74" s="34">
        <v>0</v>
      </c>
      <c r="X74" s="28">
        <v>0</v>
      </c>
      <c r="Y74" s="28">
        <v>0</v>
      </c>
      <c r="Z74" s="28">
        <v>0</v>
      </c>
      <c r="AB74" s="35">
        <v>8</v>
      </c>
      <c r="AC74" s="32">
        <v>0</v>
      </c>
      <c r="AD74" s="35">
        <v>1</v>
      </c>
      <c r="AE74" s="35">
        <v>1</v>
      </c>
      <c r="AF74" s="32">
        <v>0</v>
      </c>
      <c r="AG74" s="35">
        <v>2</v>
      </c>
    </row>
    <row r="75" spans="2:33" s="2" customFormat="1" ht="30" customHeight="1" x14ac:dyDescent="0.25">
      <c r="B75" s="29" t="s">
        <v>78</v>
      </c>
      <c r="C75" s="27" t="s">
        <v>90</v>
      </c>
      <c r="D75" s="27" t="s">
        <v>177</v>
      </c>
      <c r="E75" s="27" t="s">
        <v>116</v>
      </c>
      <c r="F75" s="28">
        <v>0</v>
      </c>
      <c r="G75" s="31">
        <v>3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B75" s="35">
        <v>9</v>
      </c>
      <c r="AC75" s="35">
        <v>2</v>
      </c>
      <c r="AD75" s="35">
        <v>1</v>
      </c>
      <c r="AE75" s="35">
        <v>1</v>
      </c>
      <c r="AF75" s="35">
        <v>1</v>
      </c>
      <c r="AG75" s="35">
        <v>2</v>
      </c>
    </row>
    <row r="76" spans="2:33" s="2" customFormat="1" ht="30" customHeight="1" x14ac:dyDescent="0.25">
      <c r="B76" s="29" t="s">
        <v>78</v>
      </c>
      <c r="C76" s="27" t="s">
        <v>91</v>
      </c>
      <c r="D76" s="27" t="s">
        <v>166</v>
      </c>
      <c r="E76" s="27" t="s">
        <v>117</v>
      </c>
      <c r="F76" s="28">
        <v>0</v>
      </c>
      <c r="G76" s="31">
        <v>3</v>
      </c>
      <c r="H76" s="28">
        <v>0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B76" s="35">
        <v>11</v>
      </c>
      <c r="AC76" s="35">
        <v>2</v>
      </c>
      <c r="AD76" s="35">
        <v>1</v>
      </c>
      <c r="AE76" s="35">
        <v>1</v>
      </c>
      <c r="AF76" s="32">
        <v>0</v>
      </c>
      <c r="AG76" s="35">
        <v>6</v>
      </c>
    </row>
    <row r="77" spans="2:33" s="2" customFormat="1" ht="30" customHeight="1" x14ac:dyDescent="0.25">
      <c r="B77" s="29" t="s">
        <v>78</v>
      </c>
      <c r="C77" s="27" t="s">
        <v>91</v>
      </c>
      <c r="D77" s="27" t="s">
        <v>199</v>
      </c>
      <c r="E77" s="27" t="s">
        <v>116</v>
      </c>
      <c r="F77" s="28">
        <v>0</v>
      </c>
      <c r="G77" s="31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31">
        <v>1</v>
      </c>
      <c r="X77" s="28">
        <v>0</v>
      </c>
      <c r="Y77" s="28">
        <v>0</v>
      </c>
      <c r="Z77" s="28">
        <v>0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32">
        <v>0</v>
      </c>
    </row>
    <row r="78" spans="2:33" s="2" customFormat="1" ht="30" customHeight="1" x14ac:dyDescent="0.25">
      <c r="B78" s="29" t="s">
        <v>78</v>
      </c>
      <c r="C78" s="27" t="s">
        <v>91</v>
      </c>
      <c r="D78" s="27" t="s">
        <v>92</v>
      </c>
      <c r="E78" s="27" t="s">
        <v>134</v>
      </c>
      <c r="F78" s="28">
        <v>0</v>
      </c>
      <c r="G78" s="31">
        <v>1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B78" s="35">
        <v>5</v>
      </c>
      <c r="AC78" s="35">
        <v>2</v>
      </c>
      <c r="AD78" s="35">
        <v>1</v>
      </c>
      <c r="AE78" s="35">
        <v>1</v>
      </c>
      <c r="AF78" s="32">
        <v>0</v>
      </c>
      <c r="AG78" s="35">
        <v>1</v>
      </c>
    </row>
    <row r="79" spans="2:33" s="2" customFormat="1" ht="30" customHeight="1" x14ac:dyDescent="0.25">
      <c r="B79" s="30" t="s">
        <v>78</v>
      </c>
      <c r="C79" s="27" t="s">
        <v>93</v>
      </c>
      <c r="D79" s="27" t="s">
        <v>167</v>
      </c>
      <c r="E79" s="27" t="s">
        <v>135</v>
      </c>
      <c r="F79" s="28">
        <v>0</v>
      </c>
      <c r="G79" s="36">
        <v>3</v>
      </c>
      <c r="H79" s="31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B79" s="35">
        <v>19</v>
      </c>
      <c r="AC79" s="32">
        <v>0</v>
      </c>
      <c r="AD79" s="35">
        <v>1</v>
      </c>
      <c r="AE79" s="35">
        <v>1</v>
      </c>
      <c r="AF79" s="32">
        <v>0</v>
      </c>
      <c r="AG79" s="35">
        <v>2</v>
      </c>
    </row>
    <row r="80" spans="2:33" s="2" customFormat="1" ht="30" customHeight="1" x14ac:dyDescent="0.25">
      <c r="B80" s="30" t="s">
        <v>78</v>
      </c>
      <c r="C80" s="27" t="s">
        <v>93</v>
      </c>
      <c r="D80" s="27" t="s">
        <v>194</v>
      </c>
      <c r="E80" s="27" t="s">
        <v>136</v>
      </c>
      <c r="F80" s="28">
        <v>0</v>
      </c>
      <c r="G80" s="36">
        <v>2</v>
      </c>
      <c r="H80" s="31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B80" s="35">
        <v>16</v>
      </c>
      <c r="AC80" s="32">
        <v>0</v>
      </c>
      <c r="AD80" s="35">
        <v>1</v>
      </c>
      <c r="AE80" s="35">
        <v>1</v>
      </c>
      <c r="AF80" s="32">
        <v>0</v>
      </c>
      <c r="AG80" s="32">
        <v>0</v>
      </c>
    </row>
    <row r="81" spans="2:33" s="2" customFormat="1" ht="30" customHeight="1" x14ac:dyDescent="0.25">
      <c r="B81" s="30" t="s">
        <v>78</v>
      </c>
      <c r="C81" s="27" t="s">
        <v>93</v>
      </c>
      <c r="D81" s="27" t="s">
        <v>143</v>
      </c>
      <c r="E81" s="27" t="s">
        <v>122</v>
      </c>
      <c r="F81" s="28">
        <v>0</v>
      </c>
      <c r="G81" s="36">
        <v>3</v>
      </c>
      <c r="H81" s="31">
        <v>0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B81" s="35">
        <v>15</v>
      </c>
      <c r="AC81" s="32">
        <v>0</v>
      </c>
      <c r="AD81" s="35">
        <v>1</v>
      </c>
      <c r="AE81" s="35">
        <v>1</v>
      </c>
      <c r="AF81" s="32">
        <v>0</v>
      </c>
      <c r="AG81" s="35">
        <v>2</v>
      </c>
    </row>
    <row r="82" spans="2:33" s="2" customFormat="1" ht="30" customHeight="1" x14ac:dyDescent="0.25">
      <c r="B82" s="30" t="s">
        <v>78</v>
      </c>
      <c r="C82" s="27" t="s">
        <v>93</v>
      </c>
      <c r="D82" s="27" t="s">
        <v>94</v>
      </c>
      <c r="E82" s="27" t="s">
        <v>137</v>
      </c>
      <c r="F82" s="28">
        <v>0</v>
      </c>
      <c r="G82" s="36">
        <v>1</v>
      </c>
      <c r="H82" s="31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B82" s="35">
        <v>22</v>
      </c>
      <c r="AC82" s="35">
        <v>4</v>
      </c>
      <c r="AD82" s="35">
        <v>1</v>
      </c>
      <c r="AE82" s="35">
        <v>1</v>
      </c>
      <c r="AF82" s="32">
        <v>0</v>
      </c>
      <c r="AG82" s="35">
        <v>4</v>
      </c>
    </row>
    <row r="83" spans="2:33" s="2" customFormat="1" ht="30" customHeight="1" x14ac:dyDescent="0.25">
      <c r="B83" s="29" t="s">
        <v>78</v>
      </c>
      <c r="C83" s="27" t="s">
        <v>95</v>
      </c>
      <c r="D83" s="27" t="s">
        <v>193</v>
      </c>
      <c r="E83" s="27" t="s">
        <v>138</v>
      </c>
      <c r="F83" s="28">
        <v>0</v>
      </c>
      <c r="G83" s="31">
        <v>5</v>
      </c>
      <c r="H83" s="31">
        <v>1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B83" s="35">
        <v>8</v>
      </c>
      <c r="AC83" s="35">
        <v>2</v>
      </c>
      <c r="AD83" s="35">
        <v>1</v>
      </c>
      <c r="AE83" s="35">
        <v>1</v>
      </c>
      <c r="AF83" s="32">
        <v>0</v>
      </c>
      <c r="AG83" s="32">
        <v>0</v>
      </c>
    </row>
    <row r="84" spans="2:33" s="2" customFormat="1" ht="30" customHeight="1" x14ac:dyDescent="0.25">
      <c r="B84" s="29" t="s">
        <v>78</v>
      </c>
      <c r="C84" s="27" t="s">
        <v>95</v>
      </c>
      <c r="D84" s="27" t="s">
        <v>168</v>
      </c>
      <c r="E84" s="27" t="s">
        <v>138</v>
      </c>
      <c r="F84" s="28">
        <v>0</v>
      </c>
      <c r="G84" s="31">
        <v>1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58">
        <f>(AA85/30)*30</f>
        <v>1297262331.5107317</v>
      </c>
      <c r="AB84" s="35">
        <v>12</v>
      </c>
      <c r="AC84" s="32">
        <v>0</v>
      </c>
      <c r="AD84" s="35">
        <v>1</v>
      </c>
      <c r="AE84" s="35">
        <v>1</v>
      </c>
      <c r="AF84" s="32">
        <v>0</v>
      </c>
      <c r="AG84" s="32">
        <v>0</v>
      </c>
    </row>
    <row r="85" spans="2:33" s="2" customFormat="1" ht="30" customHeight="1" x14ac:dyDescent="0.25">
      <c r="B85" s="29" t="s">
        <v>78</v>
      </c>
      <c r="C85" s="27" t="s">
        <v>95</v>
      </c>
      <c r="D85" s="27" t="s">
        <v>139</v>
      </c>
      <c r="E85" s="27" t="s">
        <v>197</v>
      </c>
      <c r="F85" s="28">
        <v>0</v>
      </c>
      <c r="G85" s="31">
        <v>2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58">
        <f>+(F86*F97)+(G86*G97)+(H86*H97)+(L86*L97)+(P86*P97)+(U86*U97)+(W86*W97)</f>
        <v>1297262331.5107317</v>
      </c>
      <c r="AB85" s="32">
        <v>0</v>
      </c>
      <c r="AC85" s="32">
        <v>0</v>
      </c>
      <c r="AD85" s="32">
        <v>0</v>
      </c>
      <c r="AE85" s="32">
        <v>0</v>
      </c>
      <c r="AF85" s="32">
        <v>0</v>
      </c>
      <c r="AG85" s="32">
        <v>0</v>
      </c>
    </row>
    <row r="86" spans="2:33" s="53" customFormat="1" ht="22.5" x14ac:dyDescent="0.25">
      <c r="B86" s="164" t="s">
        <v>96</v>
      </c>
      <c r="C86" s="164"/>
      <c r="D86" s="164"/>
      <c r="E86" s="164"/>
      <c r="F86" s="98">
        <f t="shared" ref="F86:Z86" si="10">SUM(F58:F85)</f>
        <v>3</v>
      </c>
      <c r="G86" s="98">
        <f t="shared" si="10"/>
        <v>62</v>
      </c>
      <c r="H86" s="98">
        <f t="shared" si="10"/>
        <v>2</v>
      </c>
      <c r="I86" s="98">
        <f t="shared" si="10"/>
        <v>0</v>
      </c>
      <c r="J86" s="98">
        <f t="shared" si="10"/>
        <v>0</v>
      </c>
      <c r="K86" s="98">
        <f t="shared" si="10"/>
        <v>0</v>
      </c>
      <c r="L86" s="98">
        <f t="shared" si="10"/>
        <v>1</v>
      </c>
      <c r="M86" s="98">
        <f t="shared" si="10"/>
        <v>0</v>
      </c>
      <c r="N86" s="98">
        <f t="shared" si="10"/>
        <v>0</v>
      </c>
      <c r="O86" s="98">
        <f t="shared" si="10"/>
        <v>0</v>
      </c>
      <c r="P86" s="98">
        <f t="shared" si="10"/>
        <v>2</v>
      </c>
      <c r="Q86" s="98">
        <f t="shared" si="10"/>
        <v>0</v>
      </c>
      <c r="R86" s="98">
        <f t="shared" si="10"/>
        <v>0</v>
      </c>
      <c r="S86" s="98">
        <f t="shared" si="10"/>
        <v>0</v>
      </c>
      <c r="T86" s="98">
        <f t="shared" si="10"/>
        <v>0</v>
      </c>
      <c r="U86" s="98">
        <f t="shared" si="10"/>
        <v>1</v>
      </c>
      <c r="V86" s="98">
        <f t="shared" si="10"/>
        <v>0</v>
      </c>
      <c r="W86" s="98">
        <f t="shared" si="10"/>
        <v>1</v>
      </c>
      <c r="X86" s="98">
        <f t="shared" si="10"/>
        <v>0</v>
      </c>
      <c r="Y86" s="98">
        <f t="shared" si="10"/>
        <v>0</v>
      </c>
      <c r="Z86" s="98">
        <f t="shared" si="10"/>
        <v>0</v>
      </c>
      <c r="AA86" s="121">
        <f>SUM(F86:Z86)</f>
        <v>72</v>
      </c>
      <c r="AB86" s="124">
        <f t="shared" ref="AB86:AG86" si="11">SUM(AB58:AB85)</f>
        <v>377</v>
      </c>
      <c r="AC86" s="124">
        <f t="shared" si="11"/>
        <v>34</v>
      </c>
      <c r="AD86" s="124">
        <f t="shared" si="11"/>
        <v>23</v>
      </c>
      <c r="AE86" s="124">
        <f t="shared" si="11"/>
        <v>23</v>
      </c>
      <c r="AF86" s="124">
        <f t="shared" si="11"/>
        <v>10</v>
      </c>
      <c r="AG86" s="124">
        <f t="shared" si="11"/>
        <v>41</v>
      </c>
    </row>
    <row r="87" spans="2:33" s="54" customFormat="1" ht="19.5" x14ac:dyDescent="0.25">
      <c r="B87" s="55"/>
      <c r="C87" s="55"/>
      <c r="D87" s="55"/>
      <c r="E87" s="55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7"/>
    </row>
    <row r="88" spans="2:33" s="4" customFormat="1" ht="24" x14ac:dyDescent="0.25">
      <c r="B88" s="3"/>
      <c r="C88" s="3"/>
      <c r="D88" s="3"/>
      <c r="E88" s="69" t="s">
        <v>97</v>
      </c>
      <c r="F88" s="66">
        <f t="shared" ref="F88:Z88" si="12">+F12+F18+F33+F49+F57+F86</f>
        <v>9</v>
      </c>
      <c r="G88" s="66">
        <f t="shared" si="12"/>
        <v>172</v>
      </c>
      <c r="H88" s="66">
        <f t="shared" si="12"/>
        <v>6</v>
      </c>
      <c r="I88" s="66">
        <f t="shared" si="12"/>
        <v>0</v>
      </c>
      <c r="J88" s="66">
        <f t="shared" si="12"/>
        <v>0</v>
      </c>
      <c r="K88" s="66">
        <f t="shared" si="12"/>
        <v>0</v>
      </c>
      <c r="L88" s="66">
        <f t="shared" si="12"/>
        <v>2</v>
      </c>
      <c r="M88" s="66">
        <f t="shared" si="12"/>
        <v>1</v>
      </c>
      <c r="N88" s="66">
        <f t="shared" si="12"/>
        <v>0</v>
      </c>
      <c r="O88" s="66">
        <f t="shared" si="12"/>
        <v>0</v>
      </c>
      <c r="P88" s="66">
        <f t="shared" si="12"/>
        <v>6</v>
      </c>
      <c r="Q88" s="66">
        <f t="shared" si="12"/>
        <v>4</v>
      </c>
      <c r="R88" s="66">
        <f t="shared" si="12"/>
        <v>0</v>
      </c>
      <c r="S88" s="66">
        <f t="shared" si="12"/>
        <v>0</v>
      </c>
      <c r="T88" s="66">
        <f t="shared" si="12"/>
        <v>0</v>
      </c>
      <c r="U88" s="66">
        <f t="shared" si="12"/>
        <v>1</v>
      </c>
      <c r="V88" s="66">
        <f t="shared" si="12"/>
        <v>2</v>
      </c>
      <c r="W88" s="66">
        <f t="shared" si="12"/>
        <v>1</v>
      </c>
      <c r="X88" s="66">
        <f t="shared" si="12"/>
        <v>1</v>
      </c>
      <c r="Y88" s="66">
        <f t="shared" si="12"/>
        <v>2</v>
      </c>
      <c r="Z88" s="66">
        <f t="shared" si="12"/>
        <v>0</v>
      </c>
      <c r="AA88" s="51">
        <f>+AA12+AA18+AA33+AA49+AA57+AA86</f>
        <v>207</v>
      </c>
      <c r="AB88" s="125">
        <f t="shared" ref="AB88:AG88" si="13">+AB12+AB18+AB33+AB49+AB57+AB86</f>
        <v>883</v>
      </c>
      <c r="AC88" s="125">
        <f t="shared" si="13"/>
        <v>59</v>
      </c>
      <c r="AD88" s="125">
        <f t="shared" si="13"/>
        <v>61</v>
      </c>
      <c r="AE88" s="125">
        <f t="shared" si="13"/>
        <v>59</v>
      </c>
      <c r="AF88" s="125">
        <f t="shared" si="13"/>
        <v>16</v>
      </c>
      <c r="AG88" s="125">
        <f t="shared" si="13"/>
        <v>94</v>
      </c>
    </row>
    <row r="89" spans="2:33" s="4" customFormat="1" x14ac:dyDescent="0.25">
      <c r="B89" s="3"/>
      <c r="C89" s="5"/>
      <c r="D89" s="5"/>
      <c r="E89" s="65" t="s">
        <v>98</v>
      </c>
      <c r="F89" s="66">
        <v>3</v>
      </c>
      <c r="G89" s="66">
        <v>3</v>
      </c>
      <c r="H89" s="66">
        <v>3</v>
      </c>
      <c r="I89" s="66">
        <v>3</v>
      </c>
      <c r="J89" s="66">
        <v>3</v>
      </c>
      <c r="K89" s="66">
        <v>3</v>
      </c>
      <c r="L89" s="66">
        <v>2</v>
      </c>
      <c r="M89" s="66">
        <v>2</v>
      </c>
      <c r="N89" s="66">
        <v>2</v>
      </c>
      <c r="O89" s="66">
        <v>1.5</v>
      </c>
      <c r="P89" s="67">
        <v>1.5</v>
      </c>
      <c r="Q89" s="67">
        <v>1.5</v>
      </c>
      <c r="R89" s="66">
        <v>1.5</v>
      </c>
      <c r="S89" s="66">
        <v>1.5</v>
      </c>
      <c r="T89" s="66">
        <v>1.5</v>
      </c>
      <c r="U89" s="66">
        <v>1</v>
      </c>
      <c r="V89" s="66">
        <v>1</v>
      </c>
      <c r="W89" s="66">
        <v>1</v>
      </c>
      <c r="X89" s="66">
        <v>1</v>
      </c>
      <c r="Y89" s="66">
        <v>1</v>
      </c>
      <c r="Z89" s="66">
        <v>1</v>
      </c>
      <c r="AA89" s="52"/>
    </row>
    <row r="90" spans="2:33" s="4" customFormat="1" ht="22.5" x14ac:dyDescent="0.25">
      <c r="B90" s="3"/>
      <c r="C90" s="5"/>
      <c r="D90" s="5"/>
      <c r="E90" s="65" t="s">
        <v>99</v>
      </c>
      <c r="F90" s="66">
        <f>F89*F88</f>
        <v>27</v>
      </c>
      <c r="G90" s="66">
        <f t="shared" ref="G90:Z90" si="14">G89*G88</f>
        <v>516</v>
      </c>
      <c r="H90" s="66">
        <f t="shared" si="14"/>
        <v>18</v>
      </c>
      <c r="I90" s="66">
        <f t="shared" si="14"/>
        <v>0</v>
      </c>
      <c r="J90" s="66">
        <f t="shared" si="14"/>
        <v>0</v>
      </c>
      <c r="K90" s="66">
        <f t="shared" si="14"/>
        <v>0</v>
      </c>
      <c r="L90" s="66">
        <f t="shared" si="14"/>
        <v>4</v>
      </c>
      <c r="M90" s="66">
        <f t="shared" si="14"/>
        <v>2</v>
      </c>
      <c r="N90" s="66">
        <f t="shared" si="14"/>
        <v>0</v>
      </c>
      <c r="O90" s="66">
        <f t="shared" si="14"/>
        <v>0</v>
      </c>
      <c r="P90" s="67">
        <f t="shared" si="14"/>
        <v>9</v>
      </c>
      <c r="Q90" s="67">
        <f t="shared" si="14"/>
        <v>6</v>
      </c>
      <c r="R90" s="67">
        <f t="shared" si="14"/>
        <v>0</v>
      </c>
      <c r="S90" s="67">
        <f t="shared" si="14"/>
        <v>0</v>
      </c>
      <c r="T90" s="67">
        <f t="shared" si="14"/>
        <v>0</v>
      </c>
      <c r="U90" s="66">
        <f t="shared" si="14"/>
        <v>1</v>
      </c>
      <c r="V90" s="66">
        <f t="shared" si="14"/>
        <v>2</v>
      </c>
      <c r="W90" s="66">
        <f t="shared" si="14"/>
        <v>1</v>
      </c>
      <c r="X90" s="66">
        <f t="shared" si="14"/>
        <v>1</v>
      </c>
      <c r="Y90" s="66">
        <f t="shared" si="14"/>
        <v>2</v>
      </c>
      <c r="Z90" s="66">
        <f t="shared" si="14"/>
        <v>0</v>
      </c>
      <c r="AA90" s="51"/>
    </row>
    <row r="91" spans="2:33" s="4" customFormat="1" ht="24" x14ac:dyDescent="0.25">
      <c r="B91" s="3"/>
      <c r="C91" s="5"/>
      <c r="D91" s="5"/>
      <c r="E91" s="65" t="s">
        <v>100</v>
      </c>
      <c r="F91" s="68">
        <v>3000</v>
      </c>
      <c r="G91" s="68">
        <f>$F$91</f>
        <v>3000</v>
      </c>
      <c r="H91" s="68">
        <f t="shared" ref="H91:Z91" si="15">$F$91</f>
        <v>3000</v>
      </c>
      <c r="I91" s="68">
        <f t="shared" si="15"/>
        <v>3000</v>
      </c>
      <c r="J91" s="68">
        <f t="shared" si="15"/>
        <v>3000</v>
      </c>
      <c r="K91" s="68">
        <f t="shared" si="15"/>
        <v>3000</v>
      </c>
      <c r="L91" s="68">
        <f t="shared" si="15"/>
        <v>3000</v>
      </c>
      <c r="M91" s="68">
        <f t="shared" si="15"/>
        <v>3000</v>
      </c>
      <c r="N91" s="68">
        <f t="shared" si="15"/>
        <v>3000</v>
      </c>
      <c r="O91" s="68">
        <f t="shared" si="15"/>
        <v>3000</v>
      </c>
      <c r="P91" s="68">
        <f t="shared" si="15"/>
        <v>3000</v>
      </c>
      <c r="Q91" s="68">
        <f t="shared" si="15"/>
        <v>3000</v>
      </c>
      <c r="R91" s="68">
        <f t="shared" si="15"/>
        <v>3000</v>
      </c>
      <c r="S91" s="68">
        <f t="shared" si="15"/>
        <v>3000</v>
      </c>
      <c r="T91" s="68">
        <f t="shared" si="15"/>
        <v>3000</v>
      </c>
      <c r="U91" s="68">
        <f t="shared" si="15"/>
        <v>3000</v>
      </c>
      <c r="V91" s="68">
        <f t="shared" si="15"/>
        <v>3000</v>
      </c>
      <c r="W91" s="68">
        <f t="shared" si="15"/>
        <v>3000</v>
      </c>
      <c r="X91" s="68">
        <f t="shared" si="15"/>
        <v>3000</v>
      </c>
      <c r="Y91" s="68">
        <f>$F$91</f>
        <v>3000</v>
      </c>
      <c r="Z91" s="68">
        <f t="shared" si="15"/>
        <v>3000</v>
      </c>
      <c r="AA91" s="6"/>
    </row>
    <row r="92" spans="2:33" s="4" customFormat="1" ht="24" x14ac:dyDescent="0.25">
      <c r="B92" s="3"/>
      <c r="C92" s="5"/>
      <c r="D92" s="5"/>
      <c r="E92" s="65" t="s">
        <v>101</v>
      </c>
      <c r="F92" s="68">
        <f>F91*F90</f>
        <v>81000</v>
      </c>
      <c r="G92" s="68">
        <f t="shared" ref="G92:Z92" si="16">G91*G90</f>
        <v>1548000</v>
      </c>
      <c r="H92" s="68">
        <f t="shared" si="16"/>
        <v>54000</v>
      </c>
      <c r="I92" s="68">
        <f t="shared" si="16"/>
        <v>0</v>
      </c>
      <c r="J92" s="68">
        <f t="shared" si="16"/>
        <v>0</v>
      </c>
      <c r="K92" s="68">
        <f t="shared" si="16"/>
        <v>0</v>
      </c>
      <c r="L92" s="68">
        <f t="shared" si="16"/>
        <v>12000</v>
      </c>
      <c r="M92" s="68">
        <f t="shared" si="16"/>
        <v>6000</v>
      </c>
      <c r="N92" s="68">
        <f t="shared" si="16"/>
        <v>0</v>
      </c>
      <c r="O92" s="68">
        <f t="shared" si="16"/>
        <v>0</v>
      </c>
      <c r="P92" s="68">
        <f t="shared" si="16"/>
        <v>27000</v>
      </c>
      <c r="Q92" s="68">
        <f t="shared" si="16"/>
        <v>18000</v>
      </c>
      <c r="R92" s="68">
        <f t="shared" si="16"/>
        <v>0</v>
      </c>
      <c r="S92" s="68">
        <f t="shared" si="16"/>
        <v>0</v>
      </c>
      <c r="T92" s="68">
        <f t="shared" si="16"/>
        <v>0</v>
      </c>
      <c r="U92" s="68">
        <f t="shared" si="16"/>
        <v>3000</v>
      </c>
      <c r="V92" s="68">
        <f t="shared" si="16"/>
        <v>6000</v>
      </c>
      <c r="W92" s="68">
        <f t="shared" si="16"/>
        <v>3000</v>
      </c>
      <c r="X92" s="68">
        <f t="shared" si="16"/>
        <v>3000</v>
      </c>
      <c r="Y92" s="68">
        <f t="shared" si="16"/>
        <v>6000</v>
      </c>
      <c r="Z92" s="68">
        <f t="shared" si="16"/>
        <v>0</v>
      </c>
      <c r="AA92" s="126"/>
    </row>
    <row r="93" spans="2:33" x14ac:dyDescent="0.25">
      <c r="F93" s="127"/>
      <c r="G93" s="127"/>
      <c r="H93" s="127"/>
      <c r="I93" s="127"/>
      <c r="J93" s="127"/>
      <c r="K93" s="127"/>
      <c r="L93" s="127"/>
      <c r="M93" s="127"/>
      <c r="O93" s="128" t="s">
        <v>207</v>
      </c>
    </row>
    <row r="94" spans="2:33" ht="16.5" x14ac:dyDescent="0.25">
      <c r="C94" s="12"/>
      <c r="D94" s="12"/>
      <c r="E94" s="129" t="s">
        <v>102</v>
      </c>
      <c r="F94" s="130">
        <f>((9.77*1750905)+(500*3))</f>
        <v>17107841.849999998</v>
      </c>
      <c r="G94" s="130">
        <f>((9.77*1750905)+(500*3))</f>
        <v>17107841.849999998</v>
      </c>
      <c r="H94" s="130">
        <f>((9.77*1750905)+(500*3))</f>
        <v>17107841.849999998</v>
      </c>
      <c r="I94" s="130">
        <f>(9.29*1423500+(500*3))</f>
        <v>13225814.999999998</v>
      </c>
      <c r="J94" s="130">
        <f>(9.29*1423500+(500*3))/30*20</f>
        <v>8817209.9999999981</v>
      </c>
      <c r="K94" s="130">
        <f>(9.29*1423500+(500*3))/30*24</f>
        <v>10580651.999999998</v>
      </c>
      <c r="L94" s="130">
        <f>(((9.77*1750905+(500*3))*47.59%)+((9.77*1750905+(500*3))*52.41%/11*3))</f>
        <v>10586954.64012</v>
      </c>
      <c r="M94" s="130">
        <f>(((9.77*1750905+(500*3))*47.59%)+((9.77*1750905+(500*3))*52.41%/11*3))/30*20</f>
        <v>7057969.7600799995</v>
      </c>
      <c r="N94" s="130">
        <f>(((9.29*1423500+(500*3))*55.97%)+((9.29*1423500+(500*3))*44.03%/9*1))/30*24</f>
        <v>6439619.9327999987</v>
      </c>
      <c r="O94" s="130">
        <f>((9.77*1750905+(500*3))*47.59%/13*12)</f>
        <v>7515343.3259215374</v>
      </c>
      <c r="P94" s="130">
        <f>((9.77*1750905+(500*3))*47.59%/13*12)/30*20</f>
        <v>5010228.8839476919</v>
      </c>
      <c r="Q94" s="130">
        <f>((9.77*1750905+(500*3))*47.59%/13*12)/30*24</f>
        <v>6012274.6607372295</v>
      </c>
      <c r="R94" s="130">
        <f>(((9.29*1423500+(500*3))*55.97%/15*3)+((9.29*1423500+(500*3))*44.03%/9*9))</f>
        <v>7303824.0755999992</v>
      </c>
      <c r="S94" s="130">
        <f>((((9.29*1423500+(500*3))*55.97%/15*3)+((9.29*1423500+(500*3))*44.03%/9*9))/30)*24</f>
        <v>5843059.2604799997</v>
      </c>
      <c r="T94" s="130">
        <f>(((9.29*1423500+(500*3))*55.97%/15*3)+((9.29*1423500+(500*3))*44.03%/9*9))</f>
        <v>7303824.0755999992</v>
      </c>
      <c r="U94" s="130">
        <f>((9.77*1750905+(500*3))*52.41%/11*8)</f>
        <v>6520887.20988</v>
      </c>
      <c r="V94" s="130">
        <f>((9.77*1750905+(500*3))*52.41%/11*8)</f>
        <v>6520887.20988</v>
      </c>
      <c r="W94" s="130">
        <f>(9.77*1750905+(500*3))*52.41%/11*8/30*20</f>
        <v>4347258.13992</v>
      </c>
      <c r="X94" s="130">
        <f>(9.77*1750905+(500*3))*47.59%/13*8/30*24</f>
        <v>4008183.1071581533</v>
      </c>
      <c r="Y94" s="130">
        <f>(9.77*1750905+(500*3))*47.59%/13*8/30*20</f>
        <v>3340152.5892984611</v>
      </c>
      <c r="Z94" s="130">
        <f>((9.77*1750905+(500*3))*47.59%/13*8)</f>
        <v>5010228.8839476919</v>
      </c>
      <c r="AB94" s="130">
        <v>11227</v>
      </c>
      <c r="AC94" s="130">
        <v>43635</v>
      </c>
      <c r="AD94" s="130">
        <v>55898</v>
      </c>
      <c r="AE94" s="130">
        <v>40588</v>
      </c>
      <c r="AF94" s="130">
        <v>127990</v>
      </c>
      <c r="AG94" s="130">
        <v>43069</v>
      </c>
    </row>
    <row r="95" spans="2:33" ht="16.5" x14ac:dyDescent="0.25">
      <c r="C95" s="12"/>
      <c r="D95" s="12"/>
      <c r="E95" s="129" t="s">
        <v>103</v>
      </c>
      <c r="F95" s="130">
        <f>+F94*0.1</f>
        <v>1710784.1849999998</v>
      </c>
      <c r="G95" s="130">
        <f>+G94*0.08</f>
        <v>1368627.3479999998</v>
      </c>
      <c r="H95" s="130">
        <f t="shared" ref="H95:Z95" si="17">+H94*0.08</f>
        <v>1368627.3479999998</v>
      </c>
      <c r="I95" s="130">
        <f>+I94*0.11</f>
        <v>1454839.65</v>
      </c>
      <c r="J95" s="130">
        <f t="shared" si="17"/>
        <v>705376.79999999981</v>
      </c>
      <c r="K95" s="130">
        <f t="shared" si="17"/>
        <v>846452.15999999992</v>
      </c>
      <c r="L95" s="130">
        <f t="shared" si="17"/>
        <v>846956.37120960001</v>
      </c>
      <c r="M95" s="130">
        <f t="shared" si="17"/>
        <v>564637.58080639993</v>
      </c>
      <c r="N95" s="130">
        <f t="shared" si="17"/>
        <v>515169.5946239999</v>
      </c>
      <c r="O95" s="130">
        <f t="shared" si="17"/>
        <v>601227.46607372304</v>
      </c>
      <c r="P95" s="130">
        <f t="shared" si="17"/>
        <v>400818.31071581534</v>
      </c>
      <c r="Q95" s="130">
        <f t="shared" si="17"/>
        <v>480981.97285897838</v>
      </c>
      <c r="R95" s="130">
        <f t="shared" si="17"/>
        <v>584305.92604799999</v>
      </c>
      <c r="S95" s="130">
        <f t="shared" si="17"/>
        <v>467444.74083839997</v>
      </c>
      <c r="T95" s="130">
        <f>+T94*0.1</f>
        <v>730382.40755999996</v>
      </c>
      <c r="U95" s="130">
        <f>+U94*0.1</f>
        <v>652088.72098800004</v>
      </c>
      <c r="V95" s="130">
        <f t="shared" si="17"/>
        <v>521670.97679039999</v>
      </c>
      <c r="W95" s="130">
        <f t="shared" si="17"/>
        <v>347780.65119360003</v>
      </c>
      <c r="X95" s="130">
        <f t="shared" si="17"/>
        <v>320654.64857265225</v>
      </c>
      <c r="Y95" s="130">
        <f t="shared" si="17"/>
        <v>267212.20714387688</v>
      </c>
      <c r="Z95" s="130">
        <f t="shared" si="17"/>
        <v>400818.31071581534</v>
      </c>
      <c r="AB95" s="130">
        <v>0</v>
      </c>
      <c r="AC95" s="130">
        <v>0</v>
      </c>
      <c r="AD95" s="130">
        <v>0</v>
      </c>
      <c r="AE95" s="130">
        <v>0</v>
      </c>
      <c r="AF95" s="130">
        <v>0</v>
      </c>
      <c r="AG95" s="130">
        <v>0</v>
      </c>
    </row>
    <row r="96" spans="2:33" ht="16.5" x14ac:dyDescent="0.25">
      <c r="C96" s="12"/>
      <c r="D96" s="12"/>
      <c r="E96" s="129" t="s">
        <v>104</v>
      </c>
      <c r="F96" s="130">
        <f>+(F94+F95)*0.019</f>
        <v>357553.89466499991</v>
      </c>
      <c r="G96" s="130">
        <f t="shared" ref="G96:Z96" si="18">+(G94+G95)*0.019</f>
        <v>351052.91476199997</v>
      </c>
      <c r="H96" s="130">
        <f t="shared" si="18"/>
        <v>351052.91476199997</v>
      </c>
      <c r="I96" s="130">
        <f t="shared" si="18"/>
        <v>278932.43834999995</v>
      </c>
      <c r="J96" s="130">
        <f t="shared" si="18"/>
        <v>180929.14919999993</v>
      </c>
      <c r="K96" s="130">
        <f t="shared" si="18"/>
        <v>217114.97903999998</v>
      </c>
      <c r="L96" s="130">
        <f>+(L94+L95)*0.019</f>
        <v>217244.30921526236</v>
      </c>
      <c r="M96" s="130">
        <f t="shared" si="18"/>
        <v>144829.53947684157</v>
      </c>
      <c r="N96" s="130">
        <f t="shared" si="18"/>
        <v>132141.00102105597</v>
      </c>
      <c r="O96" s="130">
        <f t="shared" si="18"/>
        <v>154214.84504790994</v>
      </c>
      <c r="P96" s="130">
        <f t="shared" si="18"/>
        <v>102809.89669860662</v>
      </c>
      <c r="Q96" s="130">
        <f t="shared" si="18"/>
        <v>123371.87603832794</v>
      </c>
      <c r="R96" s="130">
        <f t="shared" si="18"/>
        <v>149874.470031312</v>
      </c>
      <c r="S96" s="130">
        <f t="shared" si="18"/>
        <v>119899.5760250496</v>
      </c>
      <c r="T96" s="130">
        <f t="shared" si="18"/>
        <v>152649.92318003997</v>
      </c>
      <c r="U96" s="130">
        <f t="shared" si="18"/>
        <v>136286.542686492</v>
      </c>
      <c r="V96" s="130">
        <f t="shared" si="18"/>
        <v>133808.60554673761</v>
      </c>
      <c r="W96" s="130">
        <f t="shared" si="18"/>
        <v>89205.737031158395</v>
      </c>
      <c r="X96" s="130">
        <f t="shared" si="18"/>
        <v>82247.917358885315</v>
      </c>
      <c r="Y96" s="130">
        <f t="shared" si="18"/>
        <v>68539.93113240441</v>
      </c>
      <c r="Z96" s="130">
        <f t="shared" si="18"/>
        <v>102809.89669860662</v>
      </c>
      <c r="AB96" s="130">
        <f>+AB94*0.19</f>
        <v>2133.13</v>
      </c>
      <c r="AC96" s="130">
        <f t="shared" ref="AC96:AG96" si="19">+AC94*0.19</f>
        <v>8290.65</v>
      </c>
      <c r="AD96" s="130">
        <f t="shared" si="19"/>
        <v>10620.62</v>
      </c>
      <c r="AE96" s="130">
        <f t="shared" si="19"/>
        <v>7711.72</v>
      </c>
      <c r="AF96" s="130">
        <f t="shared" si="19"/>
        <v>24318.1</v>
      </c>
      <c r="AG96" s="130">
        <f t="shared" si="19"/>
        <v>8183.11</v>
      </c>
    </row>
    <row r="97" spans="2:33" ht="16.5" x14ac:dyDescent="0.25">
      <c r="C97" s="12"/>
      <c r="D97" s="12"/>
      <c r="E97" s="131" t="s">
        <v>105</v>
      </c>
      <c r="F97" s="132">
        <f>+F94+F95+F96</f>
        <v>19176179.929664996</v>
      </c>
      <c r="G97" s="132">
        <f>+G94+G95+G96</f>
        <v>18827522.112762</v>
      </c>
      <c r="H97" s="132">
        <f t="shared" ref="H97:Z97" si="20">+H94+H95+H96</f>
        <v>18827522.112762</v>
      </c>
      <c r="I97" s="132">
        <f t="shared" si="20"/>
        <v>14959587.088349998</v>
      </c>
      <c r="J97" s="132">
        <f t="shared" si="20"/>
        <v>9703515.9491999969</v>
      </c>
      <c r="K97" s="132">
        <f t="shared" si="20"/>
        <v>11644219.139039999</v>
      </c>
      <c r="L97" s="132">
        <f>+L94+L95+L96</f>
        <v>11651155.320544861</v>
      </c>
      <c r="M97" s="132">
        <f>+M94+M95+M96</f>
        <v>7767436.8803632408</v>
      </c>
      <c r="N97" s="132">
        <f t="shared" si="20"/>
        <v>7086930.5284450538</v>
      </c>
      <c r="O97" s="132">
        <f>+O94+O95+O96</f>
        <v>8270785.6370431706</v>
      </c>
      <c r="P97" s="132">
        <f t="shared" si="20"/>
        <v>5513857.0913621131</v>
      </c>
      <c r="Q97" s="132">
        <f t="shared" si="20"/>
        <v>6616628.5096345358</v>
      </c>
      <c r="R97" s="132">
        <f t="shared" si="20"/>
        <v>8038004.4716793112</v>
      </c>
      <c r="S97" s="132">
        <f t="shared" si="20"/>
        <v>6430403.577343449</v>
      </c>
      <c r="T97" s="132">
        <f t="shared" si="20"/>
        <v>8186856.4063400393</v>
      </c>
      <c r="U97" s="132">
        <f t="shared" si="20"/>
        <v>7309262.473554492</v>
      </c>
      <c r="V97" s="132">
        <f t="shared" si="20"/>
        <v>7176366.7922171382</v>
      </c>
      <c r="W97" s="132">
        <f t="shared" si="20"/>
        <v>4784244.5281447582</v>
      </c>
      <c r="X97" s="132">
        <f t="shared" si="20"/>
        <v>4411085.6730896914</v>
      </c>
      <c r="Y97" s="132">
        <f t="shared" si="20"/>
        <v>3675904.7275747424</v>
      </c>
      <c r="Z97" s="132">
        <f t="shared" si="20"/>
        <v>5513857.0913621131</v>
      </c>
      <c r="AA97" s="10"/>
      <c r="AB97" s="133">
        <f>+AB94+AB96</f>
        <v>13360.130000000001</v>
      </c>
      <c r="AC97" s="133">
        <f t="shared" ref="AC97:AG97" si="21">+AC94+AC96</f>
        <v>51925.65</v>
      </c>
      <c r="AD97" s="133">
        <f t="shared" si="21"/>
        <v>66518.62</v>
      </c>
      <c r="AE97" s="133">
        <f t="shared" si="21"/>
        <v>48299.72</v>
      </c>
      <c r="AF97" s="133">
        <f t="shared" si="21"/>
        <v>152308.1</v>
      </c>
      <c r="AG97" s="133">
        <f t="shared" si="21"/>
        <v>51252.11</v>
      </c>
    </row>
    <row r="98" spans="2:33" ht="16.5" x14ac:dyDescent="0.25">
      <c r="C98" s="12"/>
      <c r="D98" s="12"/>
      <c r="E98" s="113"/>
      <c r="F98" s="114"/>
      <c r="G98" s="114"/>
      <c r="H98" s="114"/>
      <c r="I98" s="114"/>
      <c r="J98" s="114"/>
      <c r="K98" s="114"/>
      <c r="L98" s="114"/>
      <c r="M98" s="114"/>
      <c r="N98" s="114"/>
      <c r="O98" s="114"/>
      <c r="P98" s="114"/>
      <c r="Q98" s="114"/>
      <c r="R98" s="114"/>
      <c r="S98" s="114"/>
      <c r="T98" s="114"/>
      <c r="U98" s="114"/>
      <c r="V98" s="114"/>
      <c r="W98" s="114"/>
      <c r="X98" s="114"/>
      <c r="Y98" s="114"/>
      <c r="Z98" s="114"/>
      <c r="AB98" s="115"/>
      <c r="AC98" s="115"/>
      <c r="AD98" s="115"/>
      <c r="AE98" s="115"/>
      <c r="AF98" s="115"/>
      <c r="AG98" s="115"/>
    </row>
    <row r="99" spans="2:33" ht="16.5" x14ac:dyDescent="0.25">
      <c r="C99" s="12"/>
      <c r="D99" s="12"/>
      <c r="E99" s="113"/>
      <c r="F99" s="114"/>
      <c r="G99" s="114"/>
      <c r="H99" s="114"/>
      <c r="I99" s="114"/>
      <c r="J99" s="114"/>
      <c r="K99" s="114"/>
      <c r="L99" s="114"/>
      <c r="M99" s="114"/>
      <c r="N99" s="114"/>
      <c r="O99" s="114"/>
      <c r="P99" s="114"/>
      <c r="Q99" s="114"/>
      <c r="R99" s="114"/>
      <c r="S99" s="114"/>
      <c r="T99" s="114"/>
      <c r="U99" s="114"/>
      <c r="V99" s="114"/>
      <c r="W99" s="114"/>
      <c r="X99" s="114"/>
      <c r="Y99" s="114"/>
      <c r="Z99" s="114"/>
      <c r="AB99" s="115"/>
      <c r="AC99" s="115"/>
      <c r="AD99" s="115"/>
      <c r="AE99" s="115"/>
      <c r="AF99" s="115"/>
      <c r="AG99" s="115"/>
    </row>
    <row r="101" spans="2:33" ht="16.5" x14ac:dyDescent="0.25">
      <c r="C101" s="12"/>
      <c r="D101" s="12"/>
      <c r="E101" s="134" t="s">
        <v>106</v>
      </c>
      <c r="F101" s="135">
        <f>(F88)*(F$94+F$95)</f>
        <v>169367634.31499997</v>
      </c>
      <c r="G101" s="135">
        <f>+(G88)*(G$94+G$95)</f>
        <v>3177952702.0559998</v>
      </c>
      <c r="H101" s="135">
        <f>+H88*(H$94+H$95)</f>
        <v>110858815.18799999</v>
      </c>
      <c r="I101" s="135">
        <f t="shared" ref="I101:Z101" si="22">+I88*(I$94+I$95)</f>
        <v>0</v>
      </c>
      <c r="J101" s="135">
        <f t="shared" si="22"/>
        <v>0</v>
      </c>
      <c r="K101" s="135">
        <f t="shared" si="22"/>
        <v>0</v>
      </c>
      <c r="L101" s="135">
        <f t="shared" si="22"/>
        <v>22867822.022659197</v>
      </c>
      <c r="M101" s="135">
        <f>+M88*(M$94+M$95)</f>
        <v>7622607.3408863991</v>
      </c>
      <c r="N101" s="135">
        <f t="shared" si="22"/>
        <v>0</v>
      </c>
      <c r="O101" s="135">
        <f t="shared" si="22"/>
        <v>0</v>
      </c>
      <c r="P101" s="135">
        <f t="shared" si="22"/>
        <v>32466283.167981043</v>
      </c>
      <c r="Q101" s="135">
        <f t="shared" si="22"/>
        <v>25973026.534384832</v>
      </c>
      <c r="R101" s="135">
        <f t="shared" si="22"/>
        <v>0</v>
      </c>
      <c r="S101" s="135">
        <f t="shared" si="22"/>
        <v>0</v>
      </c>
      <c r="T101" s="135">
        <f t="shared" si="22"/>
        <v>0</v>
      </c>
      <c r="U101" s="135">
        <f t="shared" si="22"/>
        <v>7172975.9308679998</v>
      </c>
      <c r="V101" s="135">
        <f t="shared" si="22"/>
        <v>14085116.3733408</v>
      </c>
      <c r="W101" s="135">
        <f t="shared" si="22"/>
        <v>4695038.7911136001</v>
      </c>
      <c r="X101" s="135">
        <f t="shared" si="22"/>
        <v>4328837.7557308059</v>
      </c>
      <c r="Y101" s="135">
        <f t="shared" si="22"/>
        <v>7214729.5928846756</v>
      </c>
      <c r="Z101" s="135">
        <f t="shared" si="22"/>
        <v>0</v>
      </c>
      <c r="AA101" s="10"/>
      <c r="AB101" s="136">
        <f>+AB88*(AB94+AB95)</f>
        <v>9913441</v>
      </c>
      <c r="AC101" s="136">
        <f>+AC88*(AC94+AC95)</f>
        <v>2574465</v>
      </c>
      <c r="AD101" s="136">
        <f>+AD88*(AD94+AD95)</f>
        <v>3409778</v>
      </c>
      <c r="AE101" s="136">
        <f t="shared" ref="AE101:AG101" si="23">+AE88*(AE94+AE95)</f>
        <v>2394692</v>
      </c>
      <c r="AF101" s="136">
        <f t="shared" si="23"/>
        <v>2047840</v>
      </c>
      <c r="AG101" s="136">
        <f t="shared" si="23"/>
        <v>4048486</v>
      </c>
    </row>
    <row r="102" spans="2:33" s="12" customFormat="1" ht="16.5" x14ac:dyDescent="0.25">
      <c r="E102" s="134" t="s">
        <v>107</v>
      </c>
      <c r="F102" s="135">
        <f>(F$96*F88)</f>
        <v>3217985.0519849993</v>
      </c>
      <c r="G102" s="135">
        <f>(G$96)*(G88)</f>
        <v>60381101.339063995</v>
      </c>
      <c r="H102" s="135">
        <f t="shared" ref="H102:Z102" si="24">(H$96*H88)</f>
        <v>2106317.4885719996</v>
      </c>
      <c r="I102" s="135">
        <f t="shared" si="24"/>
        <v>0</v>
      </c>
      <c r="J102" s="135">
        <f t="shared" si="24"/>
        <v>0</v>
      </c>
      <c r="K102" s="135">
        <f t="shared" si="24"/>
        <v>0</v>
      </c>
      <c r="L102" s="135">
        <f t="shared" si="24"/>
        <v>434488.61843052472</v>
      </c>
      <c r="M102" s="135">
        <f t="shared" si="24"/>
        <v>144829.53947684157</v>
      </c>
      <c r="N102" s="135">
        <f t="shared" si="24"/>
        <v>0</v>
      </c>
      <c r="O102" s="135">
        <f t="shared" si="24"/>
        <v>0</v>
      </c>
      <c r="P102" s="135">
        <f t="shared" si="24"/>
        <v>616859.38019163976</v>
      </c>
      <c r="Q102" s="135">
        <f t="shared" si="24"/>
        <v>493487.50415331178</v>
      </c>
      <c r="R102" s="135">
        <f t="shared" si="24"/>
        <v>0</v>
      </c>
      <c r="S102" s="135">
        <f t="shared" si="24"/>
        <v>0</v>
      </c>
      <c r="T102" s="135">
        <f t="shared" si="24"/>
        <v>0</v>
      </c>
      <c r="U102" s="135">
        <f t="shared" si="24"/>
        <v>136286.542686492</v>
      </c>
      <c r="V102" s="135">
        <f t="shared" si="24"/>
        <v>267617.21109347523</v>
      </c>
      <c r="W102" s="135">
        <f t="shared" si="24"/>
        <v>89205.737031158395</v>
      </c>
      <c r="X102" s="135">
        <f t="shared" si="24"/>
        <v>82247.917358885315</v>
      </c>
      <c r="Y102" s="135">
        <f t="shared" si="24"/>
        <v>137079.86226480882</v>
      </c>
      <c r="Z102" s="135">
        <f t="shared" si="24"/>
        <v>0</v>
      </c>
      <c r="AA102" s="11"/>
      <c r="AB102" s="136">
        <f t="shared" ref="AB102:AG102" si="25">+ROUND(((AB12+AB18+AB33+AB49+AB57+AB86)*AB96),0)</f>
        <v>1883554</v>
      </c>
      <c r="AC102" s="136">
        <f t="shared" si="25"/>
        <v>489148</v>
      </c>
      <c r="AD102" s="136">
        <f t="shared" si="25"/>
        <v>647858</v>
      </c>
      <c r="AE102" s="136">
        <f t="shared" si="25"/>
        <v>454991</v>
      </c>
      <c r="AF102" s="136">
        <f t="shared" si="25"/>
        <v>389090</v>
      </c>
      <c r="AG102" s="136">
        <f t="shared" si="25"/>
        <v>769212</v>
      </c>
    </row>
    <row r="103" spans="2:33" s="12" customFormat="1" ht="16.5" x14ac:dyDescent="0.25">
      <c r="B103" s="46"/>
      <c r="C103" s="46"/>
      <c r="D103" s="46"/>
      <c r="E103" s="137" t="s">
        <v>200</v>
      </c>
      <c r="F103" s="133">
        <f>+F101+F102</f>
        <v>172585619.36698496</v>
      </c>
      <c r="G103" s="133">
        <f>+G101+G102</f>
        <v>3238333803.3950639</v>
      </c>
      <c r="H103" s="133">
        <f t="shared" ref="H103:Y103" si="26">+H101+H102</f>
        <v>112965132.676572</v>
      </c>
      <c r="I103" s="133">
        <f t="shared" si="26"/>
        <v>0</v>
      </c>
      <c r="J103" s="133">
        <f t="shared" si="26"/>
        <v>0</v>
      </c>
      <c r="K103" s="133">
        <f t="shared" si="26"/>
        <v>0</v>
      </c>
      <c r="L103" s="133">
        <f t="shared" si="26"/>
        <v>23302310.641089723</v>
      </c>
      <c r="M103" s="133">
        <f>+M101+M102</f>
        <v>7767436.8803632408</v>
      </c>
      <c r="N103" s="133">
        <f t="shared" si="26"/>
        <v>0</v>
      </c>
      <c r="O103" s="133">
        <f t="shared" si="26"/>
        <v>0</v>
      </c>
      <c r="P103" s="133">
        <f t="shared" si="26"/>
        <v>33083142.548172683</v>
      </c>
      <c r="Q103" s="133">
        <f t="shared" si="26"/>
        <v>26466514.038538143</v>
      </c>
      <c r="R103" s="133">
        <f t="shared" si="26"/>
        <v>0</v>
      </c>
      <c r="S103" s="133">
        <f t="shared" si="26"/>
        <v>0</v>
      </c>
      <c r="T103" s="133">
        <f t="shared" si="26"/>
        <v>0</v>
      </c>
      <c r="U103" s="133">
        <f t="shared" si="26"/>
        <v>7309262.473554492</v>
      </c>
      <c r="V103" s="133">
        <f t="shared" si="26"/>
        <v>14352733.584434276</v>
      </c>
      <c r="W103" s="133">
        <f t="shared" si="26"/>
        <v>4784244.5281447582</v>
      </c>
      <c r="X103" s="133">
        <f t="shared" si="26"/>
        <v>4411085.6730896914</v>
      </c>
      <c r="Y103" s="133">
        <f t="shared" si="26"/>
        <v>7351809.4551494848</v>
      </c>
      <c r="Z103" s="133">
        <f>+Z101+Z102</f>
        <v>0</v>
      </c>
      <c r="AA103" s="11"/>
      <c r="AB103" s="138">
        <f>+AB101+AB102</f>
        <v>11796995</v>
      </c>
      <c r="AC103" s="138">
        <f t="shared" ref="AC103:AG103" si="27">+AC101+AC102</f>
        <v>3063613</v>
      </c>
      <c r="AD103" s="138">
        <f t="shared" si="27"/>
        <v>4057636</v>
      </c>
      <c r="AE103" s="138">
        <f t="shared" si="27"/>
        <v>2849683</v>
      </c>
      <c r="AF103" s="138">
        <f t="shared" si="27"/>
        <v>2436930</v>
      </c>
      <c r="AG103" s="138">
        <f t="shared" si="27"/>
        <v>4817698</v>
      </c>
    </row>
    <row r="104" spans="2:33" x14ac:dyDescent="0.25">
      <c r="D104" s="13"/>
      <c r="E104" s="14"/>
      <c r="F104" s="15"/>
      <c r="G104" s="16"/>
      <c r="H104" s="16"/>
      <c r="I104" s="16"/>
      <c r="J104" s="16"/>
      <c r="K104" s="16"/>
      <c r="L104" s="16"/>
      <c r="M104" s="16"/>
      <c r="O104" s="139"/>
      <c r="W104" s="140"/>
      <c r="Y104" s="71"/>
      <c r="Z104" s="72"/>
      <c r="AA104" s="19"/>
      <c r="AB104" s="71"/>
      <c r="AC104" s="72"/>
    </row>
    <row r="105" spans="2:33" ht="31.5" x14ac:dyDescent="0.25">
      <c r="C105" s="141" t="s">
        <v>108</v>
      </c>
      <c r="D105" s="141" t="s">
        <v>109</v>
      </c>
      <c r="G105" s="142"/>
      <c r="AA105" s="143"/>
    </row>
    <row r="106" spans="2:33" ht="18" customHeight="1" x14ac:dyDescent="0.25">
      <c r="C106" s="63">
        <f>+AA11+AA17+AA32+AA48+AA56+AA85</f>
        <v>3652713095.2611575</v>
      </c>
      <c r="D106" s="63">
        <f>SUM(AB103:AG103)</f>
        <v>29022555</v>
      </c>
      <c r="H106" s="142"/>
      <c r="AA106" s="144"/>
    </row>
    <row r="108" spans="2:33" ht="36.75" customHeight="1" x14ac:dyDescent="0.25">
      <c r="C108" s="145" t="s">
        <v>0</v>
      </c>
      <c r="D108" s="145" t="s">
        <v>202</v>
      </c>
      <c r="E108" s="145" t="s">
        <v>111</v>
      </c>
      <c r="F108" s="145" t="s">
        <v>204</v>
      </c>
      <c r="G108" s="145" t="s">
        <v>112</v>
      </c>
      <c r="H108" s="142">
        <f>+H105*H106</f>
        <v>0</v>
      </c>
      <c r="K108" s="16"/>
      <c r="L108" s="16"/>
      <c r="Y108" s="7"/>
    </row>
    <row r="109" spans="2:33" ht="18.75" customHeight="1" x14ac:dyDescent="0.25">
      <c r="C109" s="59" t="s">
        <v>113</v>
      </c>
      <c r="D109" s="146">
        <f>(AA11/30)*30</f>
        <v>324478961.59004366</v>
      </c>
      <c r="E109" s="146">
        <f>+(((AB12*AB97)+(AC12*AC97)+(AD12*AD97)+(AE12*AE97)+(AF12*AF97)+(AG12*AG97)))/((30))*30</f>
        <v>2617733.4400000004</v>
      </c>
      <c r="F109" s="147">
        <f t="shared" ref="F109:F114" si="28">+E109*0.051</f>
        <v>133504.40544</v>
      </c>
      <c r="G109" s="146">
        <f t="shared" ref="G109:G114" si="29">SUM(D109:F109)</f>
        <v>327230199.43548363</v>
      </c>
      <c r="K109" s="148"/>
      <c r="L109" s="16"/>
      <c r="Y109" s="7"/>
    </row>
    <row r="110" spans="2:33" ht="18.75" customHeight="1" x14ac:dyDescent="0.25">
      <c r="C110" s="59" t="s">
        <v>42</v>
      </c>
      <c r="D110" s="146">
        <f>(AA17/30)*30</f>
        <v>352430686.53907198</v>
      </c>
      <c r="E110" s="146">
        <f>+(((AB18*AB97)+(AC18*AC97)+(AD18*AD97)+(AE18*AE97)+(AF18*AF97)+(AG18*AG97)))/((30))*30</f>
        <v>2321296.1100000003</v>
      </c>
      <c r="F110" s="147">
        <f>+E110*0.051</f>
        <v>118386.10161000001</v>
      </c>
      <c r="G110" s="146">
        <f t="shared" si="29"/>
        <v>354870368.750682</v>
      </c>
      <c r="K110" s="148"/>
      <c r="L110" s="149"/>
      <c r="Y110" s="7"/>
    </row>
    <row r="111" spans="2:33" ht="18.75" customHeight="1" x14ac:dyDescent="0.25">
      <c r="C111" s="59" t="s">
        <v>50</v>
      </c>
      <c r="D111" s="146">
        <f>(AA32/30)*30</f>
        <v>491097676.63053614</v>
      </c>
      <c r="E111" s="146">
        <f>+(((AB33*AB97)+(AC33*AC97)+(AD33*AD97)+(AE33*AE97)+(AF33*AF97)+(AG33*AG97)))/((30))*30</f>
        <v>4207146.2300000004</v>
      </c>
      <c r="F111" s="147">
        <f t="shared" si="28"/>
        <v>214564.45772999999</v>
      </c>
      <c r="G111" s="146">
        <f t="shared" si="29"/>
        <v>495519387.31826615</v>
      </c>
      <c r="K111" s="148"/>
      <c r="L111" s="149"/>
      <c r="Y111" s="7"/>
    </row>
    <row r="112" spans="2:33" ht="18.75" customHeight="1" x14ac:dyDescent="0.25">
      <c r="C112" s="59" t="s">
        <v>114</v>
      </c>
      <c r="D112" s="146">
        <f>(AA48/30)*30</f>
        <v>587248682.22106588</v>
      </c>
      <c r="E112" s="146">
        <f>+(((AB49*AB97)+(AC49*AC97)+(AD49*AD97)+(AE49*AE97)+(AF49*AF97)+(AG49*AG97)))/((30))*30</f>
        <v>3706635.8</v>
      </c>
      <c r="F112" s="147">
        <f t="shared" si="28"/>
        <v>189038.42579999997</v>
      </c>
      <c r="G112" s="146">
        <f t="shared" si="29"/>
        <v>591144356.4468658</v>
      </c>
      <c r="K112" s="148"/>
      <c r="L112" s="16"/>
      <c r="Y112" s="7"/>
    </row>
    <row r="113" spans="3:25" ht="18.75" customHeight="1" x14ac:dyDescent="0.25">
      <c r="C113" s="59" t="s">
        <v>75</v>
      </c>
      <c r="D113" s="146">
        <f>(AA56/30)*30</f>
        <v>600194756.76970828</v>
      </c>
      <c r="E113" s="146">
        <f>+(((AB57*AB97)+(AC57*AC97)+(AD57*AD97)+(AE57*AE97)+(AF57*AF97)+(AG57*AG97)))/((30))*30</f>
        <v>3102263.3600000003</v>
      </c>
      <c r="F113" s="147">
        <f t="shared" si="28"/>
        <v>158215.43136000002</v>
      </c>
      <c r="G113" s="146">
        <f t="shared" si="29"/>
        <v>603455235.5610683</v>
      </c>
      <c r="K113" s="148"/>
      <c r="L113" s="16"/>
      <c r="Y113" s="7"/>
    </row>
    <row r="114" spans="3:25" ht="18.75" customHeight="1" x14ac:dyDescent="0.25">
      <c r="C114" s="59" t="s">
        <v>78</v>
      </c>
      <c r="D114" s="146">
        <f>(AA85/30)*30</f>
        <v>1297262331.5107317</v>
      </c>
      <c r="E114" s="146">
        <f>+(((AB86*AB97)+(AC86*AC97)+(AD86*AD97)+(AE86*AE97)+(AF86*AF97)+(AG86*AG97)))/((30))*30</f>
        <v>13067480.440000001</v>
      </c>
      <c r="F114" s="147">
        <f t="shared" si="28"/>
        <v>666441.50244000007</v>
      </c>
      <c r="G114" s="146">
        <f t="shared" si="29"/>
        <v>1310996253.4531717</v>
      </c>
      <c r="K114" s="148"/>
      <c r="L114" s="16"/>
      <c r="Y114" s="7"/>
    </row>
    <row r="115" spans="3:25" ht="18.75" customHeight="1" x14ac:dyDescent="0.25">
      <c r="C115" s="64" t="s">
        <v>115</v>
      </c>
      <c r="D115" s="150">
        <f>SUM(D109:D114)</f>
        <v>3652713095.2611575</v>
      </c>
      <c r="E115" s="150">
        <f>SUM(E109:E114)</f>
        <v>29022555.380000003</v>
      </c>
      <c r="F115" s="150">
        <f>SUM(F109:F114)</f>
        <v>1480150.3243800001</v>
      </c>
      <c r="G115" s="150">
        <f>SUM(G109:G114)</f>
        <v>3683215800.9655375</v>
      </c>
      <c r="K115" s="16"/>
      <c r="L115" s="16"/>
      <c r="Y115" s="7"/>
    </row>
    <row r="117" spans="3:25" x14ac:dyDescent="0.25">
      <c r="D117" s="151"/>
    </row>
    <row r="118" spans="3:25" x14ac:dyDescent="0.25">
      <c r="D118" s="151"/>
      <c r="G118" s="142"/>
    </row>
    <row r="119" spans="3:25" x14ac:dyDescent="0.25">
      <c r="D119" s="151"/>
      <c r="E119" s="151"/>
      <c r="M119" s="142"/>
      <c r="Y119" s="128">
        <f>+D119+E119</f>
        <v>0</v>
      </c>
    </row>
    <row r="120" spans="3:25" x14ac:dyDescent="0.25">
      <c r="D120" s="152"/>
      <c r="E120" s="152"/>
      <c r="Y120" s="128">
        <f>+D120+E120</f>
        <v>0</v>
      </c>
    </row>
    <row r="121" spans="3:25" x14ac:dyDescent="0.25">
      <c r="D121" s="106"/>
      <c r="E121" s="152"/>
    </row>
    <row r="122" spans="3:25" x14ac:dyDescent="0.25">
      <c r="D122" s="106"/>
      <c r="E122" s="151"/>
    </row>
    <row r="123" spans="3:25" x14ac:dyDescent="0.25">
      <c r="D123" s="151"/>
      <c r="E123" s="151"/>
    </row>
    <row r="124" spans="3:25" x14ac:dyDescent="0.25">
      <c r="D124" s="152"/>
      <c r="E124" s="152"/>
    </row>
    <row r="125" spans="3:25" x14ac:dyDescent="0.25">
      <c r="D125" s="151"/>
      <c r="E125" s="151"/>
    </row>
    <row r="126" spans="3:25" x14ac:dyDescent="0.25">
      <c r="D126" s="151"/>
      <c r="E126" s="151"/>
    </row>
    <row r="127" spans="3:25" x14ac:dyDescent="0.25">
      <c r="D127" s="106"/>
      <c r="E127" s="106"/>
      <c r="Y127" s="128">
        <f>+D127+E127</f>
        <v>0</v>
      </c>
    </row>
  </sheetData>
  <mergeCells count="6">
    <mergeCell ref="B86:E86"/>
    <mergeCell ref="B12:E12"/>
    <mergeCell ref="B18:E18"/>
    <mergeCell ref="B33:E33"/>
    <mergeCell ref="B49:E49"/>
    <mergeCell ref="B57:E57"/>
  </mergeCells>
  <pageMargins left="0.7" right="0.7" top="0.75" bottom="0.75" header="0.3" footer="0.3"/>
  <pageSetup paperSize="9" orientation="portrait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H127"/>
  <sheetViews>
    <sheetView topLeftCell="A67" zoomScale="90" zoomScaleNormal="90" workbookViewId="0">
      <selection activeCell="L105" sqref="L105"/>
    </sheetView>
  </sheetViews>
  <sheetFormatPr baseColWidth="10" defaultColWidth="9.140625" defaultRowHeight="12.75" x14ac:dyDescent="0.25"/>
  <cols>
    <col min="1" max="1" width="2.5703125" style="7" customWidth="1"/>
    <col min="2" max="2" width="12.85546875" style="12" customWidth="1"/>
    <col min="3" max="3" width="34" style="8" customWidth="1"/>
    <col min="4" max="4" width="29.85546875" style="8" customWidth="1"/>
    <col min="5" max="5" width="21.85546875" style="8" customWidth="1"/>
    <col min="6" max="6" width="19.42578125" style="128" customWidth="1"/>
    <col min="7" max="7" width="23.140625" style="128" customWidth="1"/>
    <col min="8" max="8" width="17.140625" style="128" customWidth="1"/>
    <col min="9" max="9" width="17.140625" style="128" hidden="1" customWidth="1"/>
    <col min="10" max="10" width="20.42578125" style="128" hidden="1" customWidth="1"/>
    <col min="11" max="11" width="21.42578125" style="128" hidden="1" customWidth="1"/>
    <col min="12" max="12" width="16.7109375" style="128" customWidth="1"/>
    <col min="13" max="13" width="17.42578125" style="128" customWidth="1"/>
    <col min="14" max="14" width="13.7109375" style="128" hidden="1" customWidth="1"/>
    <col min="15" max="15" width="16" style="128" customWidth="1"/>
    <col min="16" max="16" width="19" style="128" customWidth="1"/>
    <col min="17" max="17" width="17.42578125" style="128" customWidth="1"/>
    <col min="18" max="18" width="17.5703125" style="128" hidden="1" customWidth="1"/>
    <col min="19" max="19" width="18" style="128" hidden="1" customWidth="1"/>
    <col min="20" max="20" width="17.28515625" style="128" hidden="1" customWidth="1"/>
    <col min="21" max="21" width="14.7109375" style="128" customWidth="1"/>
    <col min="22" max="22" width="18.42578125" style="128" customWidth="1"/>
    <col min="23" max="23" width="17.140625" style="128" customWidth="1"/>
    <col min="24" max="24" width="18.85546875" style="128" customWidth="1"/>
    <col min="25" max="25" width="18.42578125" style="128" customWidth="1"/>
    <col min="26" max="26" width="16.7109375" style="7" customWidth="1"/>
    <col min="27" max="27" width="26.28515625" style="7" customWidth="1"/>
    <col min="28" max="33" width="15.85546875" style="7" customWidth="1"/>
    <col min="34" max="16384" width="9.140625" style="7"/>
  </cols>
  <sheetData>
    <row r="1" spans="2:33" s="1" customFormat="1" ht="114.75" x14ac:dyDescent="0.25">
      <c r="B1" s="81" t="s">
        <v>0</v>
      </c>
      <c r="C1" s="81" t="s">
        <v>1</v>
      </c>
      <c r="D1" s="81" t="s">
        <v>2</v>
      </c>
      <c r="E1" s="81" t="s">
        <v>3</v>
      </c>
      <c r="F1" s="82" t="s">
        <v>4</v>
      </c>
      <c r="G1" s="82" t="s">
        <v>5</v>
      </c>
      <c r="H1" s="82" t="s">
        <v>6</v>
      </c>
      <c r="I1" s="82" t="s">
        <v>7</v>
      </c>
      <c r="J1" s="82" t="s">
        <v>8</v>
      </c>
      <c r="K1" s="82" t="s">
        <v>9</v>
      </c>
      <c r="L1" s="82" t="s">
        <v>205</v>
      </c>
      <c r="M1" s="82" t="s">
        <v>206</v>
      </c>
      <c r="N1" s="82" t="s">
        <v>12</v>
      </c>
      <c r="O1" s="82" t="s">
        <v>13</v>
      </c>
      <c r="P1" s="82" t="s">
        <v>14</v>
      </c>
      <c r="Q1" s="82" t="s">
        <v>15</v>
      </c>
      <c r="R1" s="82" t="s">
        <v>16</v>
      </c>
      <c r="S1" s="82" t="s">
        <v>17</v>
      </c>
      <c r="T1" s="81" t="s">
        <v>18</v>
      </c>
      <c r="U1" s="82" t="s">
        <v>19</v>
      </c>
      <c r="V1" s="82" t="s">
        <v>20</v>
      </c>
      <c r="W1" s="83" t="s">
        <v>21</v>
      </c>
      <c r="X1" s="82" t="s">
        <v>22</v>
      </c>
      <c r="Y1" s="82" t="s">
        <v>23</v>
      </c>
      <c r="Z1" s="82" t="s">
        <v>24</v>
      </c>
      <c r="AA1" s="84" t="s">
        <v>25</v>
      </c>
      <c r="AB1" s="82" t="s">
        <v>26</v>
      </c>
      <c r="AC1" s="82" t="s">
        <v>27</v>
      </c>
      <c r="AD1" s="82" t="s">
        <v>28</v>
      </c>
      <c r="AE1" s="82" t="s">
        <v>29</v>
      </c>
      <c r="AF1" s="82" t="s">
        <v>30</v>
      </c>
      <c r="AG1" s="82" t="s">
        <v>31</v>
      </c>
    </row>
    <row r="2" spans="2:33" s="2" customFormat="1" x14ac:dyDescent="0.25">
      <c r="B2" s="30" t="s">
        <v>32</v>
      </c>
      <c r="C2" s="27" t="s">
        <v>33</v>
      </c>
      <c r="D2" s="27" t="s">
        <v>151</v>
      </c>
      <c r="E2" s="27" t="s">
        <v>35</v>
      </c>
      <c r="F2" s="28">
        <v>0</v>
      </c>
      <c r="G2" s="31">
        <v>1</v>
      </c>
      <c r="H2" s="28">
        <v>0</v>
      </c>
      <c r="I2" s="28">
        <v>0</v>
      </c>
      <c r="J2" s="28">
        <v>0</v>
      </c>
      <c r="K2" s="28">
        <v>0</v>
      </c>
      <c r="L2" s="28">
        <v>0</v>
      </c>
      <c r="M2" s="28">
        <v>0</v>
      </c>
      <c r="N2" s="28">
        <v>0</v>
      </c>
      <c r="O2" s="28">
        <v>0</v>
      </c>
      <c r="P2" s="28">
        <v>0</v>
      </c>
      <c r="Q2" s="28">
        <v>0</v>
      </c>
      <c r="R2" s="28">
        <v>0</v>
      </c>
      <c r="S2" s="28">
        <v>0</v>
      </c>
      <c r="T2" s="28">
        <v>0</v>
      </c>
      <c r="U2" s="28">
        <v>0</v>
      </c>
      <c r="V2" s="28">
        <v>0</v>
      </c>
      <c r="W2" s="28">
        <v>0</v>
      </c>
      <c r="X2" s="28">
        <v>0</v>
      </c>
      <c r="Y2" s="28">
        <v>0</v>
      </c>
      <c r="Z2" s="28">
        <v>0</v>
      </c>
      <c r="AB2" s="35">
        <v>19</v>
      </c>
      <c r="AC2" s="35">
        <v>2</v>
      </c>
      <c r="AD2" s="35">
        <v>1</v>
      </c>
      <c r="AE2" s="35">
        <v>1</v>
      </c>
      <c r="AF2" s="35">
        <v>1</v>
      </c>
      <c r="AG2" s="35">
        <v>2</v>
      </c>
    </row>
    <row r="3" spans="2:33" s="2" customFormat="1" ht="25.5" x14ac:dyDescent="0.25">
      <c r="B3" s="29" t="s">
        <v>32</v>
      </c>
      <c r="C3" s="27" t="s">
        <v>34</v>
      </c>
      <c r="D3" s="27" t="s">
        <v>151</v>
      </c>
      <c r="E3" s="27" t="s">
        <v>35</v>
      </c>
      <c r="F3" s="28">
        <v>0</v>
      </c>
      <c r="G3" s="31">
        <v>3</v>
      </c>
      <c r="H3" s="28">
        <v>0</v>
      </c>
      <c r="I3" s="28">
        <v>0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0</v>
      </c>
      <c r="R3" s="28">
        <v>0</v>
      </c>
      <c r="S3" s="28">
        <v>0</v>
      </c>
      <c r="T3" s="28">
        <v>0</v>
      </c>
      <c r="U3" s="28">
        <v>0</v>
      </c>
      <c r="V3" s="28">
        <v>0</v>
      </c>
      <c r="W3" s="28">
        <v>0</v>
      </c>
      <c r="X3" s="28">
        <v>0</v>
      </c>
      <c r="Y3" s="28">
        <v>0</v>
      </c>
      <c r="Z3" s="28">
        <v>0</v>
      </c>
      <c r="AB3" s="32">
        <v>0</v>
      </c>
      <c r="AC3" s="32">
        <v>0</v>
      </c>
      <c r="AD3" s="32">
        <v>0</v>
      </c>
      <c r="AE3" s="32">
        <v>0</v>
      </c>
      <c r="AF3" s="32">
        <v>0</v>
      </c>
      <c r="AG3" s="32">
        <v>0</v>
      </c>
    </row>
    <row r="4" spans="2:33" s="2" customFormat="1" ht="25.5" x14ac:dyDescent="0.25">
      <c r="B4" s="29" t="s">
        <v>32</v>
      </c>
      <c r="C4" s="27" t="s">
        <v>34</v>
      </c>
      <c r="D4" s="27" t="s">
        <v>150</v>
      </c>
      <c r="E4" s="27" t="s">
        <v>35</v>
      </c>
      <c r="F4" s="28">
        <v>0</v>
      </c>
      <c r="G4" s="31">
        <v>2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B4" s="32">
        <v>15</v>
      </c>
      <c r="AC4" s="32">
        <v>0</v>
      </c>
      <c r="AD4" s="35">
        <v>1</v>
      </c>
      <c r="AE4" s="35">
        <v>1</v>
      </c>
      <c r="AF4" s="32">
        <v>0</v>
      </c>
      <c r="AG4" s="35">
        <v>1</v>
      </c>
    </row>
    <row r="5" spans="2:33" s="2" customFormat="1" ht="38.25" x14ac:dyDescent="0.25">
      <c r="B5" s="29" t="s">
        <v>32</v>
      </c>
      <c r="C5" s="27" t="s">
        <v>34</v>
      </c>
      <c r="D5" s="27" t="s">
        <v>178</v>
      </c>
      <c r="E5" s="27" t="s">
        <v>35</v>
      </c>
      <c r="F5" s="28">
        <v>0</v>
      </c>
      <c r="G5" s="31">
        <v>1</v>
      </c>
      <c r="H5" s="28">
        <v>0</v>
      </c>
      <c r="I5" s="28">
        <v>0</v>
      </c>
      <c r="J5" s="28">
        <v>0</v>
      </c>
      <c r="K5" s="28">
        <v>0</v>
      </c>
      <c r="L5" s="28">
        <v>0</v>
      </c>
      <c r="M5" s="28">
        <v>0</v>
      </c>
      <c r="N5" s="28">
        <v>0</v>
      </c>
      <c r="O5" s="28">
        <v>0</v>
      </c>
      <c r="P5" s="28">
        <v>0</v>
      </c>
      <c r="Q5" s="28">
        <v>0</v>
      </c>
      <c r="R5" s="28">
        <v>0</v>
      </c>
      <c r="S5" s="28">
        <v>0</v>
      </c>
      <c r="T5" s="28">
        <v>0</v>
      </c>
      <c r="U5" s="28">
        <v>0</v>
      </c>
      <c r="V5" s="28">
        <v>0</v>
      </c>
      <c r="W5" s="28">
        <v>0</v>
      </c>
      <c r="X5" s="28">
        <v>0</v>
      </c>
      <c r="Y5" s="28">
        <v>0</v>
      </c>
      <c r="Z5" s="28">
        <v>0</v>
      </c>
      <c r="AB5" s="32">
        <v>7</v>
      </c>
      <c r="AC5" s="32">
        <v>0</v>
      </c>
      <c r="AD5" s="35">
        <v>1</v>
      </c>
      <c r="AE5" s="35">
        <v>1</v>
      </c>
      <c r="AF5" s="32">
        <v>0</v>
      </c>
      <c r="AG5" s="35">
        <v>1</v>
      </c>
    </row>
    <row r="6" spans="2:33" s="2" customFormat="1" ht="38.25" x14ac:dyDescent="0.25">
      <c r="B6" s="29" t="s">
        <v>32</v>
      </c>
      <c r="C6" s="27" t="s">
        <v>34</v>
      </c>
      <c r="D6" s="27" t="s">
        <v>144</v>
      </c>
      <c r="E6" s="27" t="s">
        <v>36</v>
      </c>
      <c r="F6" s="28">
        <v>0</v>
      </c>
      <c r="G6" s="31">
        <v>2</v>
      </c>
      <c r="H6" s="28">
        <v>0</v>
      </c>
      <c r="I6" s="28">
        <v>0</v>
      </c>
      <c r="J6" s="28">
        <v>0</v>
      </c>
      <c r="K6" s="28">
        <v>0</v>
      </c>
      <c r="L6" s="28">
        <v>0</v>
      </c>
      <c r="M6" s="28">
        <v>0</v>
      </c>
      <c r="N6" s="28">
        <v>0</v>
      </c>
      <c r="O6" s="28">
        <v>0</v>
      </c>
      <c r="P6" s="28">
        <v>0</v>
      </c>
      <c r="Q6" s="28">
        <v>0</v>
      </c>
      <c r="R6" s="28">
        <v>0</v>
      </c>
      <c r="S6" s="28">
        <v>0</v>
      </c>
      <c r="T6" s="28">
        <v>0</v>
      </c>
      <c r="U6" s="28">
        <v>0</v>
      </c>
      <c r="V6" s="28">
        <v>0</v>
      </c>
      <c r="W6" s="28">
        <v>0</v>
      </c>
      <c r="X6" s="31">
        <v>1</v>
      </c>
      <c r="Y6" s="28">
        <v>0</v>
      </c>
      <c r="Z6" s="28">
        <v>0</v>
      </c>
      <c r="AB6" s="32">
        <v>11</v>
      </c>
      <c r="AC6" s="32">
        <v>0</v>
      </c>
      <c r="AD6" s="35">
        <v>1</v>
      </c>
      <c r="AE6" s="35">
        <v>1</v>
      </c>
      <c r="AF6" s="32">
        <v>0</v>
      </c>
      <c r="AG6" s="35">
        <v>1</v>
      </c>
    </row>
    <row r="7" spans="2:33" s="2" customFormat="1" ht="25.5" x14ac:dyDescent="0.25">
      <c r="B7" s="29" t="s">
        <v>32</v>
      </c>
      <c r="C7" s="27" t="s">
        <v>34</v>
      </c>
      <c r="D7" s="27" t="s">
        <v>145</v>
      </c>
      <c r="E7" s="27" t="s">
        <v>36</v>
      </c>
      <c r="F7" s="28">
        <v>0</v>
      </c>
      <c r="G7" s="31">
        <v>1</v>
      </c>
      <c r="H7" s="28">
        <v>0</v>
      </c>
      <c r="I7" s="28"/>
      <c r="J7" s="28"/>
      <c r="K7" s="28"/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B7" s="32">
        <v>0</v>
      </c>
      <c r="AC7" s="32">
        <v>0</v>
      </c>
      <c r="AD7" s="32">
        <v>0</v>
      </c>
      <c r="AE7" s="32">
        <v>0</v>
      </c>
      <c r="AF7" s="32">
        <v>0</v>
      </c>
      <c r="AG7" s="32">
        <v>0</v>
      </c>
    </row>
    <row r="8" spans="2:33" s="2" customFormat="1" ht="25.5" x14ac:dyDescent="0.25">
      <c r="B8" s="29" t="s">
        <v>32</v>
      </c>
      <c r="C8" s="27" t="s">
        <v>34</v>
      </c>
      <c r="D8" s="27" t="s">
        <v>179</v>
      </c>
      <c r="E8" s="27" t="s">
        <v>37</v>
      </c>
      <c r="F8" s="28">
        <v>0</v>
      </c>
      <c r="G8" s="31">
        <v>2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0</v>
      </c>
      <c r="W8" s="28">
        <v>0</v>
      </c>
      <c r="X8" s="28">
        <v>0</v>
      </c>
      <c r="Y8" s="28">
        <v>0</v>
      </c>
      <c r="Z8" s="28">
        <v>0</v>
      </c>
      <c r="AB8" s="35">
        <v>16</v>
      </c>
      <c r="AC8" s="32">
        <v>0</v>
      </c>
      <c r="AD8" s="35">
        <v>1</v>
      </c>
      <c r="AE8" s="35">
        <v>1</v>
      </c>
      <c r="AF8" s="32">
        <v>0</v>
      </c>
      <c r="AG8" s="35">
        <v>3</v>
      </c>
    </row>
    <row r="9" spans="2:33" s="2" customFormat="1" ht="25.5" x14ac:dyDescent="0.25">
      <c r="B9" s="29" t="s">
        <v>32</v>
      </c>
      <c r="C9" s="27" t="s">
        <v>34</v>
      </c>
      <c r="D9" s="27" t="s">
        <v>38</v>
      </c>
      <c r="E9" s="27" t="s">
        <v>37</v>
      </c>
      <c r="F9" s="28">
        <v>0</v>
      </c>
      <c r="G9" s="31">
        <v>2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58">
        <f>(AA11/30)*30</f>
        <v>324478961.59004366</v>
      </c>
      <c r="AB9" s="32">
        <v>0</v>
      </c>
      <c r="AC9" s="32">
        <v>0</v>
      </c>
      <c r="AD9" s="32">
        <v>0</v>
      </c>
      <c r="AE9" s="32">
        <v>0</v>
      </c>
      <c r="AF9" s="32">
        <v>0</v>
      </c>
      <c r="AG9" s="32">
        <v>0</v>
      </c>
    </row>
    <row r="10" spans="2:33" s="2" customFormat="1" ht="25.5" x14ac:dyDescent="0.25">
      <c r="B10" s="29" t="s">
        <v>32</v>
      </c>
      <c r="C10" s="27" t="s">
        <v>34</v>
      </c>
      <c r="D10" s="27" t="s">
        <v>39</v>
      </c>
      <c r="E10" s="27" t="s">
        <v>40</v>
      </c>
      <c r="F10" s="28">
        <v>0</v>
      </c>
      <c r="G10" s="31">
        <v>1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B10" s="32">
        <v>0</v>
      </c>
      <c r="AC10" s="32">
        <v>0</v>
      </c>
      <c r="AD10" s="32">
        <v>0</v>
      </c>
      <c r="AE10" s="32">
        <v>0</v>
      </c>
      <c r="AF10" s="32">
        <v>0</v>
      </c>
      <c r="AG10" s="32">
        <v>0</v>
      </c>
    </row>
    <row r="11" spans="2:33" s="2" customFormat="1" ht="25.5" x14ac:dyDescent="0.25">
      <c r="B11" s="29" t="s">
        <v>32</v>
      </c>
      <c r="C11" s="27" t="s">
        <v>34</v>
      </c>
      <c r="D11" s="27" t="s">
        <v>180</v>
      </c>
      <c r="E11" s="27" t="s">
        <v>40</v>
      </c>
      <c r="F11" s="28">
        <v>0</v>
      </c>
      <c r="G11" s="31">
        <v>2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58">
        <f>+(G12*G97)+(X12*X97)</f>
        <v>324478961.59004366</v>
      </c>
      <c r="AB11" s="35">
        <v>15</v>
      </c>
      <c r="AC11" s="32">
        <v>0</v>
      </c>
      <c r="AD11" s="35">
        <v>1</v>
      </c>
      <c r="AE11" s="35">
        <v>1</v>
      </c>
      <c r="AF11" s="32">
        <v>0</v>
      </c>
      <c r="AG11" s="35">
        <v>3</v>
      </c>
    </row>
    <row r="12" spans="2:33" s="53" customFormat="1" ht="22.5" x14ac:dyDescent="0.25">
      <c r="B12" s="164" t="s">
        <v>41</v>
      </c>
      <c r="C12" s="164"/>
      <c r="D12" s="164"/>
      <c r="E12" s="164"/>
      <c r="F12" s="98">
        <f t="shared" ref="F12:Z12" si="0">SUM(F2:F11)</f>
        <v>0</v>
      </c>
      <c r="G12" s="98">
        <f t="shared" si="0"/>
        <v>17</v>
      </c>
      <c r="H12" s="98">
        <f t="shared" si="0"/>
        <v>0</v>
      </c>
      <c r="I12" s="98">
        <f t="shared" si="0"/>
        <v>0</v>
      </c>
      <c r="J12" s="98">
        <f t="shared" si="0"/>
        <v>0</v>
      </c>
      <c r="K12" s="98">
        <f t="shared" si="0"/>
        <v>0</v>
      </c>
      <c r="L12" s="98">
        <f t="shared" si="0"/>
        <v>0</v>
      </c>
      <c r="M12" s="98">
        <f t="shared" si="0"/>
        <v>0</v>
      </c>
      <c r="N12" s="98">
        <f t="shared" si="0"/>
        <v>0</v>
      </c>
      <c r="O12" s="98">
        <f t="shared" si="0"/>
        <v>0</v>
      </c>
      <c r="P12" s="98">
        <f t="shared" si="0"/>
        <v>0</v>
      </c>
      <c r="Q12" s="98">
        <f t="shared" si="0"/>
        <v>0</v>
      </c>
      <c r="R12" s="98">
        <f t="shared" si="0"/>
        <v>0</v>
      </c>
      <c r="S12" s="98">
        <f t="shared" si="0"/>
        <v>0</v>
      </c>
      <c r="T12" s="98">
        <f t="shared" si="0"/>
        <v>0</v>
      </c>
      <c r="U12" s="98">
        <f t="shared" si="0"/>
        <v>0</v>
      </c>
      <c r="V12" s="98">
        <f t="shared" si="0"/>
        <v>0</v>
      </c>
      <c r="W12" s="98">
        <f t="shared" si="0"/>
        <v>0</v>
      </c>
      <c r="X12" s="98">
        <f t="shared" si="0"/>
        <v>1</v>
      </c>
      <c r="Y12" s="98">
        <f t="shared" si="0"/>
        <v>0</v>
      </c>
      <c r="Z12" s="98">
        <f t="shared" si="0"/>
        <v>0</v>
      </c>
      <c r="AA12" s="121">
        <f>SUM(F12:Z12)</f>
        <v>18</v>
      </c>
      <c r="AB12" s="122">
        <f t="shared" ref="AB12:AG12" si="1">SUM(AB2:AB11)</f>
        <v>83</v>
      </c>
      <c r="AC12" s="122">
        <f t="shared" si="1"/>
        <v>2</v>
      </c>
      <c r="AD12" s="122">
        <f t="shared" si="1"/>
        <v>6</v>
      </c>
      <c r="AE12" s="122">
        <f t="shared" si="1"/>
        <v>6</v>
      </c>
      <c r="AF12" s="122">
        <f t="shared" si="1"/>
        <v>1</v>
      </c>
      <c r="AG12" s="122">
        <f t="shared" si="1"/>
        <v>11</v>
      </c>
    </row>
    <row r="13" spans="2:33" s="2" customFormat="1" ht="24.75" customHeight="1" x14ac:dyDescent="0.25">
      <c r="B13" s="30" t="s">
        <v>42</v>
      </c>
      <c r="C13" s="27" t="s">
        <v>43</v>
      </c>
      <c r="D13" s="27" t="s">
        <v>181</v>
      </c>
      <c r="E13" s="27" t="s">
        <v>45</v>
      </c>
      <c r="F13" s="28">
        <v>0</v>
      </c>
      <c r="G13" s="31">
        <v>1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32">
        <v>0</v>
      </c>
    </row>
    <row r="14" spans="2:33" s="2" customFormat="1" ht="25.5" x14ac:dyDescent="0.25">
      <c r="B14" s="29" t="s">
        <v>42</v>
      </c>
      <c r="C14" s="27" t="s">
        <v>44</v>
      </c>
      <c r="D14" s="27" t="s">
        <v>181</v>
      </c>
      <c r="E14" s="27" t="s">
        <v>45</v>
      </c>
      <c r="F14" s="31">
        <v>1</v>
      </c>
      <c r="G14" s="31">
        <v>3</v>
      </c>
      <c r="H14" s="31">
        <v>1</v>
      </c>
      <c r="I14" s="28">
        <v>0</v>
      </c>
      <c r="J14" s="28">
        <v>0</v>
      </c>
      <c r="K14" s="28">
        <v>0</v>
      </c>
      <c r="L14" s="28">
        <v>0</v>
      </c>
      <c r="M14" s="31">
        <v>1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31">
        <v>1</v>
      </c>
      <c r="Z14" s="28">
        <v>0</v>
      </c>
      <c r="AB14" s="35">
        <v>58</v>
      </c>
      <c r="AC14" s="35">
        <v>2</v>
      </c>
      <c r="AD14" s="35">
        <v>2</v>
      </c>
      <c r="AE14" s="35">
        <v>2</v>
      </c>
      <c r="AF14" s="35">
        <v>1</v>
      </c>
      <c r="AG14" s="35">
        <v>5</v>
      </c>
    </row>
    <row r="15" spans="2:33" s="2" customFormat="1" ht="38.25" x14ac:dyDescent="0.25">
      <c r="B15" s="29" t="s">
        <v>42</v>
      </c>
      <c r="C15" s="27" t="s">
        <v>46</v>
      </c>
      <c r="D15" s="27" t="s">
        <v>181</v>
      </c>
      <c r="E15" s="27" t="s">
        <v>45</v>
      </c>
      <c r="F15" s="31"/>
      <c r="G15" s="31"/>
      <c r="H15" s="31"/>
      <c r="I15" s="28"/>
      <c r="J15" s="28"/>
      <c r="K15" s="28"/>
      <c r="L15" s="28"/>
      <c r="M15" s="28"/>
      <c r="N15" s="28"/>
      <c r="O15" s="28"/>
      <c r="P15" s="31"/>
      <c r="Q15" s="28"/>
      <c r="R15" s="28"/>
      <c r="S15" s="28"/>
      <c r="T15" s="28"/>
      <c r="U15" s="28"/>
      <c r="V15" s="28"/>
      <c r="W15" s="28"/>
      <c r="X15" s="28"/>
      <c r="Y15" s="28"/>
      <c r="Z15" s="28"/>
      <c r="AB15" s="35"/>
      <c r="AC15" s="32"/>
      <c r="AD15" s="32"/>
      <c r="AE15" s="32"/>
      <c r="AF15" s="32"/>
      <c r="AG15" s="32"/>
    </row>
    <row r="16" spans="2:33" s="2" customFormat="1" ht="76.5" x14ac:dyDescent="0.25">
      <c r="B16" s="29" t="s">
        <v>42</v>
      </c>
      <c r="C16" s="27" t="s">
        <v>44</v>
      </c>
      <c r="D16" s="27" t="s">
        <v>152</v>
      </c>
      <c r="E16" s="27" t="s">
        <v>47</v>
      </c>
      <c r="F16" s="31">
        <v>3</v>
      </c>
      <c r="G16" s="31">
        <v>4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58">
        <f>(AA17/30)*30</f>
        <v>352430686.53907198</v>
      </c>
      <c r="AB16" s="35">
        <v>10</v>
      </c>
      <c r="AC16" s="32">
        <v>0</v>
      </c>
      <c r="AD16" s="35">
        <v>1</v>
      </c>
      <c r="AE16" s="35">
        <v>1</v>
      </c>
      <c r="AF16" s="32">
        <v>0</v>
      </c>
      <c r="AG16" s="35">
        <v>3</v>
      </c>
    </row>
    <row r="17" spans="2:34" s="2" customFormat="1" ht="48" customHeight="1" x14ac:dyDescent="0.25">
      <c r="B17" s="29" t="s">
        <v>42</v>
      </c>
      <c r="C17" s="27" t="s">
        <v>44</v>
      </c>
      <c r="D17" s="27" t="s">
        <v>146</v>
      </c>
      <c r="E17" s="27" t="s">
        <v>48</v>
      </c>
      <c r="F17" s="31">
        <v>2</v>
      </c>
      <c r="G17" s="31">
        <v>3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58">
        <f>+(F18*F97)+(G18*G97)+(H18*H97)+(M18*M97)+(P18*P97)+(Y18*Y97)</f>
        <v>352430686.53907198</v>
      </c>
      <c r="AB17" s="35">
        <v>10</v>
      </c>
      <c r="AC17" s="32">
        <v>0</v>
      </c>
      <c r="AD17" s="35">
        <v>1</v>
      </c>
      <c r="AE17" s="35">
        <v>1</v>
      </c>
      <c r="AF17" s="32">
        <v>0</v>
      </c>
      <c r="AG17" s="35">
        <v>3</v>
      </c>
    </row>
    <row r="18" spans="2:34" s="53" customFormat="1" ht="19.5" customHeight="1" x14ac:dyDescent="0.25">
      <c r="B18" s="164" t="s">
        <v>49</v>
      </c>
      <c r="C18" s="164"/>
      <c r="D18" s="164"/>
      <c r="E18" s="164"/>
      <c r="F18" s="98">
        <f t="shared" ref="F18:Z18" si="2">SUM(F13:F17)</f>
        <v>6</v>
      </c>
      <c r="G18" s="98">
        <f t="shared" si="2"/>
        <v>11</v>
      </c>
      <c r="H18" s="98">
        <f t="shared" si="2"/>
        <v>1</v>
      </c>
      <c r="I18" s="98">
        <f t="shared" si="2"/>
        <v>0</v>
      </c>
      <c r="J18" s="98">
        <f t="shared" si="2"/>
        <v>0</v>
      </c>
      <c r="K18" s="98">
        <f t="shared" si="2"/>
        <v>0</v>
      </c>
      <c r="L18" s="98">
        <f t="shared" si="2"/>
        <v>0</v>
      </c>
      <c r="M18" s="98">
        <f t="shared" si="2"/>
        <v>1</v>
      </c>
      <c r="N18" s="98">
        <f t="shared" si="2"/>
        <v>0</v>
      </c>
      <c r="O18" s="98">
        <f t="shared" si="2"/>
        <v>0</v>
      </c>
      <c r="P18" s="98">
        <f t="shared" si="2"/>
        <v>0</v>
      </c>
      <c r="Q18" s="98">
        <f t="shared" si="2"/>
        <v>0</v>
      </c>
      <c r="R18" s="98">
        <f t="shared" si="2"/>
        <v>0</v>
      </c>
      <c r="S18" s="98">
        <f t="shared" si="2"/>
        <v>0</v>
      </c>
      <c r="T18" s="98">
        <f t="shared" si="2"/>
        <v>0</v>
      </c>
      <c r="U18" s="98">
        <f t="shared" si="2"/>
        <v>0</v>
      </c>
      <c r="V18" s="98">
        <f t="shared" si="2"/>
        <v>0</v>
      </c>
      <c r="W18" s="98">
        <f t="shared" si="2"/>
        <v>0</v>
      </c>
      <c r="X18" s="98">
        <f t="shared" si="2"/>
        <v>0</v>
      </c>
      <c r="Y18" s="98">
        <f t="shared" si="2"/>
        <v>1</v>
      </c>
      <c r="Z18" s="98">
        <f t="shared" si="2"/>
        <v>0</v>
      </c>
      <c r="AA18" s="121">
        <f>SUM(F18:Z18)</f>
        <v>20</v>
      </c>
      <c r="AB18" s="122">
        <f>SUM(AB13:AB17)</f>
        <v>78</v>
      </c>
      <c r="AC18" s="122">
        <f t="shared" ref="AC18:AG18" si="3">SUM(AC13:AC17)</f>
        <v>2</v>
      </c>
      <c r="AD18" s="122">
        <f t="shared" si="3"/>
        <v>4</v>
      </c>
      <c r="AE18" s="122">
        <f t="shared" si="3"/>
        <v>4</v>
      </c>
      <c r="AF18" s="122">
        <f t="shared" si="3"/>
        <v>1</v>
      </c>
      <c r="AG18" s="122">
        <f t="shared" si="3"/>
        <v>11</v>
      </c>
    </row>
    <row r="19" spans="2:34" s="2" customFormat="1" ht="43.5" customHeight="1" x14ac:dyDescent="0.25">
      <c r="B19" s="30" t="s">
        <v>50</v>
      </c>
      <c r="C19" s="27" t="s">
        <v>33</v>
      </c>
      <c r="D19" s="27" t="s">
        <v>182</v>
      </c>
      <c r="E19" s="27" t="s">
        <v>52</v>
      </c>
      <c r="F19" s="28">
        <v>0</v>
      </c>
      <c r="G19" s="31">
        <v>1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B19" s="32">
        <v>0</v>
      </c>
      <c r="AC19" s="32">
        <v>0</v>
      </c>
      <c r="AD19" s="32">
        <v>0</v>
      </c>
      <c r="AE19" s="32">
        <v>0</v>
      </c>
      <c r="AF19" s="32">
        <v>0</v>
      </c>
      <c r="AG19" s="32">
        <v>0</v>
      </c>
    </row>
    <row r="20" spans="2:34" s="2" customFormat="1" ht="48" customHeight="1" x14ac:dyDescent="0.25">
      <c r="B20" s="29" t="s">
        <v>50</v>
      </c>
      <c r="C20" s="27" t="s">
        <v>195</v>
      </c>
      <c r="D20" s="27" t="s">
        <v>182</v>
      </c>
      <c r="E20" s="27" t="s">
        <v>52</v>
      </c>
      <c r="F20" s="28">
        <v>0</v>
      </c>
      <c r="G20" s="31">
        <v>4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31">
        <v>1</v>
      </c>
      <c r="R20" s="28">
        <v>0</v>
      </c>
      <c r="S20" s="28">
        <v>0</v>
      </c>
      <c r="T20" s="28">
        <v>0</v>
      </c>
      <c r="U20" s="28">
        <v>0</v>
      </c>
      <c r="V20" s="31">
        <v>1</v>
      </c>
      <c r="W20" s="28">
        <v>0</v>
      </c>
      <c r="X20" s="28">
        <v>0</v>
      </c>
      <c r="Y20" s="28">
        <v>0</v>
      </c>
      <c r="Z20" s="28">
        <v>0</v>
      </c>
      <c r="AB20" s="35">
        <v>18</v>
      </c>
      <c r="AC20" s="32">
        <v>0</v>
      </c>
      <c r="AD20" s="35">
        <v>2</v>
      </c>
      <c r="AE20" s="35">
        <v>2</v>
      </c>
      <c r="AF20" s="35">
        <v>1</v>
      </c>
      <c r="AG20" s="32">
        <v>0</v>
      </c>
    </row>
    <row r="21" spans="2:34" s="2" customFormat="1" ht="48" customHeight="1" x14ac:dyDescent="0.25">
      <c r="B21" s="29" t="s">
        <v>50</v>
      </c>
      <c r="C21" s="27" t="s">
        <v>195</v>
      </c>
      <c r="D21" s="27" t="s">
        <v>183</v>
      </c>
      <c r="E21" s="27" t="s">
        <v>121</v>
      </c>
      <c r="F21" s="28">
        <v>0</v>
      </c>
      <c r="G21" s="31">
        <v>1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B21" s="35">
        <v>8</v>
      </c>
      <c r="AC21" s="32">
        <v>0</v>
      </c>
      <c r="AD21" s="35">
        <v>1</v>
      </c>
      <c r="AE21" s="35">
        <v>1</v>
      </c>
      <c r="AF21" s="35">
        <v>1</v>
      </c>
      <c r="AG21" s="35">
        <v>1</v>
      </c>
    </row>
    <row r="22" spans="2:34" s="2" customFormat="1" ht="48" customHeight="1" x14ac:dyDescent="0.25">
      <c r="B22" s="29" t="s">
        <v>50</v>
      </c>
      <c r="C22" s="27" t="s">
        <v>195</v>
      </c>
      <c r="D22" s="27" t="s">
        <v>153</v>
      </c>
      <c r="E22" s="27" t="s">
        <v>123</v>
      </c>
      <c r="F22" s="28">
        <v>0</v>
      </c>
      <c r="G22" s="31">
        <v>1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B22" s="35">
        <v>8</v>
      </c>
      <c r="AC22" s="32">
        <v>0</v>
      </c>
      <c r="AD22" s="35">
        <v>1</v>
      </c>
      <c r="AE22" s="35">
        <v>1</v>
      </c>
      <c r="AF22" s="35">
        <v>1</v>
      </c>
      <c r="AG22" s="35">
        <v>1</v>
      </c>
    </row>
    <row r="23" spans="2:34" s="2" customFormat="1" ht="43.5" customHeight="1" x14ac:dyDescent="0.25">
      <c r="B23" s="30" t="s">
        <v>50</v>
      </c>
      <c r="C23" s="27" t="s">
        <v>51</v>
      </c>
      <c r="D23" s="27" t="s">
        <v>53</v>
      </c>
      <c r="E23" s="27" t="s">
        <v>52</v>
      </c>
      <c r="F23" s="28">
        <v>0</v>
      </c>
      <c r="G23" s="31">
        <v>3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/>
      <c r="N23" s="28">
        <v>0</v>
      </c>
      <c r="O23" s="28">
        <v>0</v>
      </c>
      <c r="P23" s="28">
        <v>0</v>
      </c>
      <c r="Q23" s="31">
        <v>1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B23" s="35">
        <v>22</v>
      </c>
      <c r="AC23" s="32">
        <v>0</v>
      </c>
      <c r="AD23" s="35">
        <v>2</v>
      </c>
      <c r="AE23" s="35">
        <v>2</v>
      </c>
      <c r="AF23" s="35">
        <v>1</v>
      </c>
      <c r="AG23" s="32">
        <v>0</v>
      </c>
    </row>
    <row r="24" spans="2:34" s="2" customFormat="1" ht="48" customHeight="1" x14ac:dyDescent="0.25">
      <c r="B24" s="29" t="s">
        <v>50</v>
      </c>
      <c r="C24" s="27" t="s">
        <v>54</v>
      </c>
      <c r="D24" s="27" t="s">
        <v>154</v>
      </c>
      <c r="E24" s="27" t="s">
        <v>121</v>
      </c>
      <c r="F24" s="28">
        <v>0</v>
      </c>
      <c r="G24" s="31">
        <v>3</v>
      </c>
      <c r="H24" s="28">
        <v>0</v>
      </c>
      <c r="I24" s="28">
        <v>0</v>
      </c>
      <c r="J24" s="28">
        <v>0</v>
      </c>
      <c r="K24" s="28">
        <v>0</v>
      </c>
      <c r="L24" s="31">
        <v>1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B24" s="35">
        <v>12</v>
      </c>
      <c r="AC24" s="32">
        <v>0</v>
      </c>
      <c r="AD24" s="35">
        <v>1</v>
      </c>
      <c r="AE24" s="35">
        <v>1</v>
      </c>
      <c r="AF24" s="32">
        <v>0</v>
      </c>
      <c r="AG24" s="32">
        <v>0</v>
      </c>
    </row>
    <row r="25" spans="2:34" s="2" customFormat="1" ht="48" customHeight="1" x14ac:dyDescent="0.25">
      <c r="B25" s="29" t="s">
        <v>50</v>
      </c>
      <c r="C25" s="27" t="s">
        <v>54</v>
      </c>
      <c r="D25" s="27" t="s">
        <v>147</v>
      </c>
      <c r="E25" s="27" t="s">
        <v>121</v>
      </c>
      <c r="F25" s="28">
        <v>0</v>
      </c>
      <c r="G25" s="31">
        <v>2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31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31">
        <v>1</v>
      </c>
      <c r="W25" s="28">
        <v>0</v>
      </c>
      <c r="X25" s="28">
        <v>0</v>
      </c>
      <c r="Y25" s="28">
        <v>0</v>
      </c>
      <c r="Z25" s="28">
        <v>0</v>
      </c>
      <c r="AB25" s="32">
        <v>0</v>
      </c>
      <c r="AC25" s="32">
        <v>0</v>
      </c>
      <c r="AD25" s="32">
        <v>0</v>
      </c>
      <c r="AE25" s="32">
        <v>0</v>
      </c>
      <c r="AF25" s="32">
        <v>0</v>
      </c>
      <c r="AG25" s="32">
        <v>0</v>
      </c>
    </row>
    <row r="26" spans="2:34" s="2" customFormat="1" ht="48" customHeight="1" x14ac:dyDescent="0.25">
      <c r="B26" s="29" t="s">
        <v>50</v>
      </c>
      <c r="C26" s="27" t="s">
        <v>54</v>
      </c>
      <c r="D26" s="27" t="s">
        <v>148</v>
      </c>
      <c r="E26" s="27" t="s">
        <v>124</v>
      </c>
      <c r="F26" s="28">
        <v>0</v>
      </c>
      <c r="G26" s="31">
        <v>1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B26" s="35">
        <v>6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</row>
    <row r="27" spans="2:34" s="2" customFormat="1" ht="49.5" customHeight="1" x14ac:dyDescent="0.25">
      <c r="B27" s="30" t="s">
        <v>50</v>
      </c>
      <c r="C27" s="27" t="s">
        <v>55</v>
      </c>
      <c r="D27" s="27" t="s">
        <v>184</v>
      </c>
      <c r="E27" s="27" t="s">
        <v>56</v>
      </c>
      <c r="F27" s="28">
        <v>0</v>
      </c>
      <c r="G27" s="31">
        <v>2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B27" s="35">
        <v>14</v>
      </c>
      <c r="AC27" s="32">
        <v>0</v>
      </c>
      <c r="AD27" s="35">
        <v>1</v>
      </c>
      <c r="AE27" s="35">
        <v>1</v>
      </c>
      <c r="AF27" s="32">
        <v>0</v>
      </c>
      <c r="AG27" s="35">
        <v>1</v>
      </c>
    </row>
    <row r="28" spans="2:34" s="2" customFormat="1" ht="49.5" customHeight="1" x14ac:dyDescent="0.25">
      <c r="B28" s="30" t="s">
        <v>50</v>
      </c>
      <c r="C28" s="27" t="s">
        <v>55</v>
      </c>
      <c r="D28" s="27" t="s">
        <v>185</v>
      </c>
      <c r="E28" s="27" t="s">
        <v>56</v>
      </c>
      <c r="F28" s="28">
        <v>0</v>
      </c>
      <c r="G28" s="31">
        <v>2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B28" s="35">
        <v>6</v>
      </c>
      <c r="AC28" s="35">
        <v>2</v>
      </c>
      <c r="AD28" s="35">
        <v>1</v>
      </c>
      <c r="AE28" s="35">
        <v>1</v>
      </c>
      <c r="AF28" s="32">
        <v>0</v>
      </c>
      <c r="AG28" s="35">
        <v>1</v>
      </c>
    </row>
    <row r="29" spans="2:34" s="2" customFormat="1" ht="49.5" customHeight="1" x14ac:dyDescent="0.25">
      <c r="B29" s="30" t="s">
        <v>50</v>
      </c>
      <c r="C29" s="27" t="s">
        <v>55</v>
      </c>
      <c r="D29" s="27" t="s">
        <v>186</v>
      </c>
      <c r="E29" s="27" t="s">
        <v>56</v>
      </c>
      <c r="F29" s="28">
        <v>0</v>
      </c>
      <c r="G29" s="31">
        <v>1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B29" s="35">
        <v>6</v>
      </c>
      <c r="AC29" s="35">
        <v>2</v>
      </c>
      <c r="AD29" s="35">
        <v>1</v>
      </c>
      <c r="AE29" s="35">
        <v>1</v>
      </c>
      <c r="AF29" s="32">
        <v>0</v>
      </c>
      <c r="AG29" s="35">
        <v>1</v>
      </c>
    </row>
    <row r="30" spans="2:34" s="2" customFormat="1" ht="49.5" customHeight="1" x14ac:dyDescent="0.25">
      <c r="B30" s="30" t="s">
        <v>50</v>
      </c>
      <c r="C30" s="27" t="s">
        <v>55</v>
      </c>
      <c r="D30" s="27" t="s">
        <v>171</v>
      </c>
      <c r="E30" s="27" t="s">
        <v>56</v>
      </c>
      <c r="F30" s="28">
        <v>0</v>
      </c>
      <c r="G30" s="31">
        <v>1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58">
        <f>(AA32/30)*30</f>
        <v>491097676.63053614</v>
      </c>
      <c r="AB30" s="35">
        <v>4</v>
      </c>
      <c r="AC30" s="35">
        <v>2</v>
      </c>
      <c r="AD30" s="32">
        <v>0</v>
      </c>
      <c r="AE30" s="32">
        <v>0</v>
      </c>
      <c r="AF30" s="32">
        <v>0</v>
      </c>
      <c r="AG30" s="32">
        <v>0</v>
      </c>
      <c r="AH30" s="32"/>
    </row>
    <row r="31" spans="2:34" s="2" customFormat="1" ht="49.5" customHeight="1" x14ac:dyDescent="0.25">
      <c r="B31" s="30" t="s">
        <v>50</v>
      </c>
      <c r="C31" s="27" t="s">
        <v>57</v>
      </c>
      <c r="D31" s="27" t="s">
        <v>187</v>
      </c>
      <c r="E31" s="27" t="s">
        <v>125</v>
      </c>
      <c r="F31" s="28">
        <v>0</v>
      </c>
      <c r="G31" s="31">
        <v>1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58"/>
      <c r="AB31" s="35">
        <v>6</v>
      </c>
      <c r="AC31" s="32">
        <v>0</v>
      </c>
      <c r="AD31" s="35">
        <v>1</v>
      </c>
      <c r="AE31" s="35">
        <v>1</v>
      </c>
      <c r="AF31" s="32">
        <v>0</v>
      </c>
      <c r="AG31" s="35">
        <v>1</v>
      </c>
    </row>
    <row r="32" spans="2:34" s="2" customFormat="1" ht="49.5" customHeight="1" x14ac:dyDescent="0.25">
      <c r="B32" s="30" t="s">
        <v>50</v>
      </c>
      <c r="C32" s="27" t="s">
        <v>57</v>
      </c>
      <c r="D32" s="27" t="s">
        <v>149</v>
      </c>
      <c r="E32" s="27" t="s">
        <v>126</v>
      </c>
      <c r="F32" s="28">
        <v>0</v>
      </c>
      <c r="G32" s="31">
        <v>1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58">
        <f>+(G33*G97)+(L33*L97)+(O33*O97)+(Q33*Q97)+(V33*V97)</f>
        <v>491097676.63053614</v>
      </c>
      <c r="AB32" s="35">
        <v>6</v>
      </c>
      <c r="AC32" s="32">
        <v>0</v>
      </c>
      <c r="AD32" s="35">
        <v>1</v>
      </c>
      <c r="AE32" s="35">
        <v>1</v>
      </c>
      <c r="AF32" s="32">
        <v>0</v>
      </c>
      <c r="AG32" s="35">
        <v>1</v>
      </c>
    </row>
    <row r="33" spans="2:33" s="53" customFormat="1" ht="22.5" x14ac:dyDescent="0.25">
      <c r="B33" s="164" t="s">
        <v>58</v>
      </c>
      <c r="C33" s="164"/>
      <c r="D33" s="164"/>
      <c r="E33" s="164"/>
      <c r="F33" s="98">
        <f t="shared" ref="F33:Z33" si="4">SUM(F19:F32)</f>
        <v>0</v>
      </c>
      <c r="G33" s="98">
        <f t="shared" si="4"/>
        <v>24</v>
      </c>
      <c r="H33" s="98">
        <f t="shared" si="4"/>
        <v>0</v>
      </c>
      <c r="I33" s="98">
        <f t="shared" si="4"/>
        <v>0</v>
      </c>
      <c r="J33" s="98">
        <f t="shared" si="4"/>
        <v>0</v>
      </c>
      <c r="K33" s="98">
        <f t="shared" si="4"/>
        <v>0</v>
      </c>
      <c r="L33" s="98">
        <f t="shared" si="4"/>
        <v>1</v>
      </c>
      <c r="M33" s="98">
        <f t="shared" si="4"/>
        <v>0</v>
      </c>
      <c r="N33" s="98">
        <f t="shared" si="4"/>
        <v>0</v>
      </c>
      <c r="O33" s="98">
        <f t="shared" si="4"/>
        <v>0</v>
      </c>
      <c r="P33" s="98">
        <f t="shared" si="4"/>
        <v>0</v>
      </c>
      <c r="Q33" s="98">
        <f t="shared" si="4"/>
        <v>2</v>
      </c>
      <c r="R33" s="98">
        <f t="shared" si="4"/>
        <v>0</v>
      </c>
      <c r="S33" s="98">
        <f t="shared" si="4"/>
        <v>0</v>
      </c>
      <c r="T33" s="98">
        <f t="shared" si="4"/>
        <v>0</v>
      </c>
      <c r="U33" s="98">
        <f t="shared" si="4"/>
        <v>0</v>
      </c>
      <c r="V33" s="98">
        <f t="shared" si="4"/>
        <v>2</v>
      </c>
      <c r="W33" s="98">
        <f t="shared" si="4"/>
        <v>0</v>
      </c>
      <c r="X33" s="98">
        <f t="shared" si="4"/>
        <v>0</v>
      </c>
      <c r="Y33" s="98">
        <f t="shared" si="4"/>
        <v>0</v>
      </c>
      <c r="Z33" s="98">
        <f t="shared" si="4"/>
        <v>0</v>
      </c>
      <c r="AA33" s="121">
        <f>SUM(F33:Z33)</f>
        <v>29</v>
      </c>
      <c r="AB33" s="122">
        <f t="shared" ref="AB33:AG33" si="5">SUM(AB19:AB32)</f>
        <v>116</v>
      </c>
      <c r="AC33" s="122">
        <f t="shared" si="5"/>
        <v>6</v>
      </c>
      <c r="AD33" s="122">
        <f t="shared" si="5"/>
        <v>12</v>
      </c>
      <c r="AE33" s="122">
        <f t="shared" si="5"/>
        <v>12</v>
      </c>
      <c r="AF33" s="122">
        <f t="shared" si="5"/>
        <v>4</v>
      </c>
      <c r="AG33" s="122">
        <f t="shared" si="5"/>
        <v>7</v>
      </c>
    </row>
    <row r="34" spans="2:33" s="2" customFormat="1" ht="25.5" x14ac:dyDescent="0.25">
      <c r="B34" s="29" t="s">
        <v>59</v>
      </c>
      <c r="C34" s="27" t="s">
        <v>43</v>
      </c>
      <c r="D34" s="27" t="s">
        <v>60</v>
      </c>
      <c r="E34" s="27" t="s">
        <v>61</v>
      </c>
      <c r="F34" s="28">
        <v>0</v>
      </c>
      <c r="G34" s="31">
        <v>0</v>
      </c>
      <c r="H34" s="31">
        <v>1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B34" s="32">
        <v>0</v>
      </c>
      <c r="AC34" s="32">
        <v>0</v>
      </c>
      <c r="AD34" s="32">
        <v>0</v>
      </c>
      <c r="AE34" s="32">
        <v>0</v>
      </c>
      <c r="AF34" s="32">
        <v>0</v>
      </c>
      <c r="AG34" s="32">
        <v>0</v>
      </c>
    </row>
    <row r="35" spans="2:33" s="2" customFormat="1" ht="25.5" x14ac:dyDescent="0.25">
      <c r="B35" s="29" t="s">
        <v>59</v>
      </c>
      <c r="C35" s="27" t="s">
        <v>43</v>
      </c>
      <c r="D35" s="27" t="s">
        <v>62</v>
      </c>
      <c r="E35" s="27" t="s">
        <v>61</v>
      </c>
      <c r="F35" s="28">
        <v>0</v>
      </c>
      <c r="G35" s="31">
        <v>1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31">
        <v>1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31">
        <v>1</v>
      </c>
      <c r="Z35" s="28">
        <v>0</v>
      </c>
      <c r="AB35" s="32">
        <v>0</v>
      </c>
      <c r="AC35" s="32">
        <v>0</v>
      </c>
      <c r="AD35" s="32">
        <v>0</v>
      </c>
      <c r="AE35" s="32">
        <v>0</v>
      </c>
      <c r="AF35" s="32">
        <v>0</v>
      </c>
      <c r="AG35" s="32">
        <v>0</v>
      </c>
    </row>
    <row r="36" spans="2:33" s="2" customFormat="1" ht="25.5" x14ac:dyDescent="0.25">
      <c r="B36" s="29" t="s">
        <v>59</v>
      </c>
      <c r="C36" s="27" t="s">
        <v>43</v>
      </c>
      <c r="D36" s="27" t="s">
        <v>63</v>
      </c>
      <c r="E36" s="27" t="s">
        <v>61</v>
      </c>
      <c r="F36" s="28">
        <v>0</v>
      </c>
      <c r="G36" s="31">
        <v>2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B36" s="35">
        <v>25</v>
      </c>
      <c r="AC36" s="35">
        <v>2</v>
      </c>
      <c r="AD36" s="35">
        <v>3</v>
      </c>
      <c r="AE36" s="35">
        <v>1</v>
      </c>
      <c r="AF36" s="32">
        <v>0</v>
      </c>
      <c r="AG36" s="32">
        <v>0</v>
      </c>
    </row>
    <row r="37" spans="2:33" s="2" customFormat="1" ht="38.25" x14ac:dyDescent="0.25">
      <c r="B37" s="29" t="s">
        <v>59</v>
      </c>
      <c r="C37" s="27" t="s">
        <v>43</v>
      </c>
      <c r="D37" s="27" t="s">
        <v>64</v>
      </c>
      <c r="E37" s="27" t="s">
        <v>61</v>
      </c>
      <c r="F37" s="28">
        <v>0</v>
      </c>
      <c r="G37" s="31">
        <v>1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B37" s="35">
        <v>10</v>
      </c>
      <c r="AC37" s="35">
        <v>2</v>
      </c>
      <c r="AD37" s="32">
        <v>0</v>
      </c>
      <c r="AE37" s="32">
        <v>0</v>
      </c>
      <c r="AF37" s="32">
        <v>0</v>
      </c>
      <c r="AG37" s="32">
        <v>0</v>
      </c>
    </row>
    <row r="38" spans="2:33" s="2" customFormat="1" ht="38.25" x14ac:dyDescent="0.25">
      <c r="B38" s="29" t="s">
        <v>59</v>
      </c>
      <c r="C38" s="27" t="s">
        <v>43</v>
      </c>
      <c r="D38" s="27" t="s">
        <v>65</v>
      </c>
      <c r="E38" s="27" t="s">
        <v>61</v>
      </c>
      <c r="F38" s="28"/>
      <c r="G38" s="31">
        <v>1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B38" s="32">
        <v>0</v>
      </c>
      <c r="AC38" s="32">
        <v>0</v>
      </c>
      <c r="AD38" s="32">
        <v>0</v>
      </c>
      <c r="AE38" s="32">
        <v>0</v>
      </c>
      <c r="AF38" s="32">
        <v>0</v>
      </c>
      <c r="AG38" s="32">
        <v>0</v>
      </c>
    </row>
    <row r="39" spans="2:33" s="2" customFormat="1" ht="25.5" x14ac:dyDescent="0.25">
      <c r="B39" s="29" t="s">
        <v>59</v>
      </c>
      <c r="C39" s="27" t="s">
        <v>66</v>
      </c>
      <c r="D39" s="27" t="s">
        <v>67</v>
      </c>
      <c r="E39" s="27" t="s">
        <v>61</v>
      </c>
      <c r="F39" s="28">
        <v>0</v>
      </c>
      <c r="G39" s="31">
        <v>3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31">
        <v>1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B39" s="35">
        <v>13</v>
      </c>
      <c r="AC39" s="35">
        <v>1</v>
      </c>
      <c r="AD39" s="32">
        <v>0</v>
      </c>
      <c r="AE39" s="32">
        <v>0</v>
      </c>
      <c r="AF39" s="32">
        <v>0</v>
      </c>
      <c r="AG39" s="35">
        <v>2</v>
      </c>
    </row>
    <row r="40" spans="2:33" s="2" customFormat="1" ht="25.5" x14ac:dyDescent="0.25">
      <c r="B40" s="29" t="s">
        <v>59</v>
      </c>
      <c r="C40" s="27" t="s">
        <v>66</v>
      </c>
      <c r="D40" s="27" t="s">
        <v>68</v>
      </c>
      <c r="E40" s="27" t="s">
        <v>61</v>
      </c>
      <c r="F40" s="28">
        <v>0</v>
      </c>
      <c r="G40" s="31">
        <v>2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31">
        <v>1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B40" s="35">
        <v>11</v>
      </c>
      <c r="AC40" s="32">
        <v>0</v>
      </c>
      <c r="AD40" s="32">
        <v>0</v>
      </c>
      <c r="AE40" s="32">
        <v>0</v>
      </c>
      <c r="AF40" s="32">
        <v>0</v>
      </c>
      <c r="AG40" s="35">
        <v>3</v>
      </c>
    </row>
    <row r="41" spans="2:33" s="2" customFormat="1" ht="25.5" x14ac:dyDescent="0.25">
      <c r="B41" s="29" t="s">
        <v>59</v>
      </c>
      <c r="C41" s="27" t="s">
        <v>66</v>
      </c>
      <c r="D41" s="27" t="s">
        <v>69</v>
      </c>
      <c r="E41" s="27" t="s">
        <v>61</v>
      </c>
      <c r="F41" s="28">
        <v>0</v>
      </c>
      <c r="G41" s="31">
        <v>2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B41" s="35">
        <v>9</v>
      </c>
      <c r="AC41" s="35">
        <v>1</v>
      </c>
      <c r="AD41" s="35">
        <v>1</v>
      </c>
      <c r="AE41" s="35">
        <v>1</v>
      </c>
      <c r="AF41" s="32">
        <v>0</v>
      </c>
      <c r="AG41" s="35">
        <v>4</v>
      </c>
    </row>
    <row r="42" spans="2:33" s="2" customFormat="1" ht="25.5" x14ac:dyDescent="0.25">
      <c r="B42" s="29" t="s">
        <v>59</v>
      </c>
      <c r="C42" s="27" t="s">
        <v>66</v>
      </c>
      <c r="D42" s="27" t="s">
        <v>188</v>
      </c>
      <c r="E42" s="27" t="s">
        <v>61</v>
      </c>
      <c r="F42" s="28">
        <v>0</v>
      </c>
      <c r="G42" s="31">
        <v>3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B42" s="35">
        <v>11</v>
      </c>
      <c r="AC42" s="35">
        <v>1</v>
      </c>
      <c r="AD42" s="35">
        <v>1</v>
      </c>
      <c r="AE42" s="35">
        <v>1</v>
      </c>
      <c r="AF42" s="32">
        <v>0</v>
      </c>
      <c r="AG42" s="35">
        <v>3</v>
      </c>
    </row>
    <row r="43" spans="2:33" s="2" customFormat="1" ht="25.5" x14ac:dyDescent="0.25">
      <c r="B43" s="29" t="s">
        <v>59</v>
      </c>
      <c r="C43" s="27" t="s">
        <v>66</v>
      </c>
      <c r="D43" s="27" t="s">
        <v>189</v>
      </c>
      <c r="E43" s="27" t="s">
        <v>70</v>
      </c>
      <c r="F43" s="28">
        <v>0</v>
      </c>
      <c r="G43" s="31">
        <v>2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B43" s="35">
        <v>13</v>
      </c>
      <c r="AC43" s="35">
        <v>1</v>
      </c>
      <c r="AD43" s="35">
        <v>1</v>
      </c>
      <c r="AE43" s="35">
        <v>1</v>
      </c>
      <c r="AF43" s="32">
        <v>0</v>
      </c>
      <c r="AG43" s="35">
        <v>2</v>
      </c>
    </row>
    <row r="44" spans="2:33" s="2" customFormat="1" ht="25.5" x14ac:dyDescent="0.25">
      <c r="B44" s="29" t="s">
        <v>59</v>
      </c>
      <c r="C44" s="27" t="s">
        <v>66</v>
      </c>
      <c r="D44" s="27" t="s">
        <v>190</v>
      </c>
      <c r="E44" s="27" t="s">
        <v>71</v>
      </c>
      <c r="F44" s="28">
        <v>0</v>
      </c>
      <c r="G44" s="31">
        <v>1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B44" s="35">
        <v>8</v>
      </c>
      <c r="AC44" s="35">
        <v>1</v>
      </c>
      <c r="AD44" s="35">
        <v>1</v>
      </c>
      <c r="AE44" s="35">
        <v>1</v>
      </c>
      <c r="AF44" s="32">
        <v>0</v>
      </c>
      <c r="AG44" s="35">
        <v>1</v>
      </c>
    </row>
    <row r="45" spans="2:33" s="2" customFormat="1" ht="25.5" x14ac:dyDescent="0.25">
      <c r="B45" s="29" t="s">
        <v>59</v>
      </c>
      <c r="C45" s="27" t="s">
        <v>66</v>
      </c>
      <c r="D45" s="27" t="s">
        <v>72</v>
      </c>
      <c r="E45" s="27" t="s">
        <v>73</v>
      </c>
      <c r="F45" s="28">
        <v>0</v>
      </c>
      <c r="G45" s="31">
        <v>1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</row>
    <row r="46" spans="2:33" s="2" customFormat="1" ht="25.5" x14ac:dyDescent="0.25">
      <c r="B46" s="29" t="s">
        <v>59</v>
      </c>
      <c r="C46" s="27" t="s">
        <v>155</v>
      </c>
      <c r="D46" s="27" t="s">
        <v>191</v>
      </c>
      <c r="E46" s="27" t="s">
        <v>71</v>
      </c>
      <c r="F46" s="28">
        <v>0</v>
      </c>
      <c r="G46" s="31">
        <v>2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58">
        <f>(AA48/30)*30</f>
        <v>587248682.22106588</v>
      </c>
      <c r="AB46" s="35">
        <v>8</v>
      </c>
      <c r="AC46" s="35">
        <v>1</v>
      </c>
      <c r="AD46" s="35">
        <v>1</v>
      </c>
      <c r="AE46" s="35">
        <v>1</v>
      </c>
      <c r="AF46" s="32">
        <v>0</v>
      </c>
      <c r="AG46" s="35">
        <v>3</v>
      </c>
    </row>
    <row r="47" spans="2:33" s="2" customFormat="1" ht="25.5" x14ac:dyDescent="0.25">
      <c r="B47" s="29" t="s">
        <v>59</v>
      </c>
      <c r="C47" s="27" t="s">
        <v>155</v>
      </c>
      <c r="D47" s="27" t="s">
        <v>172</v>
      </c>
      <c r="E47" s="27" t="s">
        <v>61</v>
      </c>
      <c r="F47" s="28">
        <v>0</v>
      </c>
      <c r="G47" s="31">
        <v>3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32">
        <v>0</v>
      </c>
    </row>
    <row r="48" spans="2:33" s="2" customFormat="1" ht="25.5" x14ac:dyDescent="0.25">
      <c r="B48" s="29" t="s">
        <v>59</v>
      </c>
      <c r="C48" s="27" t="s">
        <v>155</v>
      </c>
      <c r="D48" s="27" t="s">
        <v>173</v>
      </c>
      <c r="E48" s="27" t="s">
        <v>127</v>
      </c>
      <c r="F48" s="28">
        <v>0</v>
      </c>
      <c r="G48" s="31">
        <v>5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58">
        <f>+(G49*G97)+(H49*H97)+(P49*P97)+(Q49*Q97)+(Y49*Y97)</f>
        <v>587248682.22106588</v>
      </c>
      <c r="AB48" s="32">
        <v>0</v>
      </c>
      <c r="AC48" s="32">
        <v>0</v>
      </c>
      <c r="AD48" s="32">
        <v>0</v>
      </c>
      <c r="AE48" s="32">
        <v>0</v>
      </c>
      <c r="AF48" s="32">
        <v>0</v>
      </c>
      <c r="AG48" s="32">
        <v>0</v>
      </c>
    </row>
    <row r="49" spans="2:33" s="53" customFormat="1" ht="22.5" x14ac:dyDescent="0.25">
      <c r="B49" s="164" t="s">
        <v>74</v>
      </c>
      <c r="C49" s="164"/>
      <c r="D49" s="164"/>
      <c r="E49" s="164"/>
      <c r="F49" s="98">
        <f t="shared" ref="F49:Z49" si="6">SUM(F34:F48)</f>
        <v>0</v>
      </c>
      <c r="G49" s="98">
        <f t="shared" si="6"/>
        <v>29</v>
      </c>
      <c r="H49" s="98">
        <f t="shared" si="6"/>
        <v>1</v>
      </c>
      <c r="I49" s="98">
        <f t="shared" si="6"/>
        <v>0</v>
      </c>
      <c r="J49" s="98">
        <f t="shared" si="6"/>
        <v>0</v>
      </c>
      <c r="K49" s="98">
        <f t="shared" si="6"/>
        <v>0</v>
      </c>
      <c r="L49" s="98">
        <f t="shared" si="6"/>
        <v>0</v>
      </c>
      <c r="M49" s="98">
        <f t="shared" si="6"/>
        <v>0</v>
      </c>
      <c r="N49" s="98">
        <f t="shared" si="6"/>
        <v>0</v>
      </c>
      <c r="O49" s="98">
        <f t="shared" si="6"/>
        <v>0</v>
      </c>
      <c r="P49" s="98">
        <f t="shared" si="6"/>
        <v>1</v>
      </c>
      <c r="Q49" s="98">
        <f t="shared" si="6"/>
        <v>2</v>
      </c>
      <c r="R49" s="98">
        <f t="shared" si="6"/>
        <v>0</v>
      </c>
      <c r="S49" s="98">
        <f t="shared" si="6"/>
        <v>0</v>
      </c>
      <c r="T49" s="98">
        <f t="shared" si="6"/>
        <v>0</v>
      </c>
      <c r="U49" s="98">
        <f t="shared" si="6"/>
        <v>0</v>
      </c>
      <c r="V49" s="98">
        <f t="shared" si="6"/>
        <v>0</v>
      </c>
      <c r="W49" s="98">
        <f t="shared" si="6"/>
        <v>0</v>
      </c>
      <c r="X49" s="98">
        <f t="shared" si="6"/>
        <v>0</v>
      </c>
      <c r="Y49" s="98">
        <f t="shared" si="6"/>
        <v>1</v>
      </c>
      <c r="Z49" s="98">
        <f t="shared" si="6"/>
        <v>0</v>
      </c>
      <c r="AA49" s="121">
        <f>SUM(F49:Z49)</f>
        <v>34</v>
      </c>
      <c r="AB49" s="122">
        <f>SUM(AB34:AB48)</f>
        <v>108</v>
      </c>
      <c r="AC49" s="122">
        <f t="shared" ref="AC49:AG49" si="7">SUM(AC34:AC48)</f>
        <v>10</v>
      </c>
      <c r="AD49" s="122">
        <f t="shared" si="7"/>
        <v>8</v>
      </c>
      <c r="AE49" s="122">
        <f t="shared" si="7"/>
        <v>6</v>
      </c>
      <c r="AF49" s="122">
        <f t="shared" si="7"/>
        <v>0</v>
      </c>
      <c r="AG49" s="122">
        <f t="shared" si="7"/>
        <v>18</v>
      </c>
    </row>
    <row r="50" spans="2:33" s="2" customFormat="1" ht="25.5" x14ac:dyDescent="0.25">
      <c r="B50" s="29" t="s">
        <v>75</v>
      </c>
      <c r="C50" s="27" t="s">
        <v>198</v>
      </c>
      <c r="D50" s="27" t="s">
        <v>196</v>
      </c>
      <c r="E50" s="27" t="s">
        <v>128</v>
      </c>
      <c r="F50" s="28">
        <v>0</v>
      </c>
      <c r="G50" s="31">
        <v>7</v>
      </c>
      <c r="H50" s="31">
        <v>1</v>
      </c>
      <c r="I50" s="28"/>
      <c r="J50" s="28"/>
      <c r="K50" s="28"/>
      <c r="L50" s="28">
        <v>0</v>
      </c>
      <c r="M50" s="28">
        <v>0</v>
      </c>
      <c r="N50" s="28">
        <v>0</v>
      </c>
      <c r="O50" s="28">
        <v>0</v>
      </c>
      <c r="P50" s="31">
        <v>1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B50" s="35">
        <v>45</v>
      </c>
      <c r="AC50" s="35">
        <v>2</v>
      </c>
      <c r="AD50" s="35">
        <v>2</v>
      </c>
      <c r="AE50" s="35">
        <v>2</v>
      </c>
      <c r="AF50" s="32">
        <v>0</v>
      </c>
      <c r="AG50" s="35">
        <v>1</v>
      </c>
    </row>
    <row r="51" spans="2:33" s="2" customFormat="1" ht="25.5" x14ac:dyDescent="0.25">
      <c r="B51" s="29" t="s">
        <v>75</v>
      </c>
      <c r="C51" s="27" t="s">
        <v>198</v>
      </c>
      <c r="D51" s="27" t="s">
        <v>76</v>
      </c>
      <c r="E51" s="27" t="s">
        <v>128</v>
      </c>
      <c r="F51" s="28">
        <v>0</v>
      </c>
      <c r="G51" s="31">
        <v>1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31">
        <v>1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B51" s="35">
        <v>6</v>
      </c>
      <c r="AC51" s="35">
        <v>1</v>
      </c>
      <c r="AD51" s="35">
        <v>1</v>
      </c>
      <c r="AE51" s="35">
        <v>1</v>
      </c>
      <c r="AF51" s="32">
        <v>0</v>
      </c>
      <c r="AG51" s="35">
        <v>1</v>
      </c>
    </row>
    <row r="52" spans="2:33" s="2" customFormat="1" ht="25.5" x14ac:dyDescent="0.25">
      <c r="B52" s="29" t="s">
        <v>75</v>
      </c>
      <c r="C52" s="27" t="s">
        <v>198</v>
      </c>
      <c r="D52" s="27" t="s">
        <v>156</v>
      </c>
      <c r="E52" s="27" t="s">
        <v>128</v>
      </c>
      <c r="F52" s="28">
        <v>0</v>
      </c>
      <c r="G52" s="31">
        <v>3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B52" s="35">
        <f>25</f>
        <v>25</v>
      </c>
      <c r="AC52" s="32">
        <v>0</v>
      </c>
      <c r="AD52" s="35">
        <f>2</f>
        <v>2</v>
      </c>
      <c r="AE52" s="35">
        <v>2</v>
      </c>
      <c r="AF52" s="32">
        <v>0</v>
      </c>
      <c r="AG52" s="35">
        <v>1</v>
      </c>
    </row>
    <row r="53" spans="2:33" s="2" customFormat="1" ht="38.25" x14ac:dyDescent="0.25">
      <c r="B53" s="29" t="s">
        <v>75</v>
      </c>
      <c r="C53" s="27" t="s">
        <v>169</v>
      </c>
      <c r="D53" s="27" t="s">
        <v>157</v>
      </c>
      <c r="E53" s="27" t="s">
        <v>128</v>
      </c>
      <c r="F53" s="28">
        <v>0</v>
      </c>
      <c r="G53" s="31">
        <v>6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B53" s="35">
        <v>25</v>
      </c>
      <c r="AC53" s="35">
        <v>1</v>
      </c>
      <c r="AD53" s="35">
        <v>1</v>
      </c>
      <c r="AE53" s="35">
        <v>1</v>
      </c>
      <c r="AF53" s="32">
        <v>0</v>
      </c>
      <c r="AG53" s="35">
        <v>1</v>
      </c>
    </row>
    <row r="54" spans="2:33" s="2" customFormat="1" ht="25.5" x14ac:dyDescent="0.25">
      <c r="B54" s="29" t="s">
        <v>75</v>
      </c>
      <c r="C54" s="27" t="s">
        <v>198</v>
      </c>
      <c r="D54" s="27" t="s">
        <v>170</v>
      </c>
      <c r="E54" s="27" t="s">
        <v>159</v>
      </c>
      <c r="F54" s="28">
        <v>0</v>
      </c>
      <c r="G54" s="31">
        <v>4</v>
      </c>
      <c r="H54" s="31">
        <v>1</v>
      </c>
      <c r="I54" s="28"/>
      <c r="J54" s="28"/>
      <c r="K54" s="28"/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58">
        <f>(AA56/30)*30</f>
        <v>600194756.76970828</v>
      </c>
      <c r="AB54" s="32">
        <v>0</v>
      </c>
      <c r="AC54" s="32">
        <v>0</v>
      </c>
      <c r="AD54" s="32">
        <v>0</v>
      </c>
      <c r="AE54" s="32">
        <v>0</v>
      </c>
      <c r="AF54" s="32">
        <v>0</v>
      </c>
      <c r="AG54" s="32">
        <v>0</v>
      </c>
    </row>
    <row r="55" spans="2:33" s="2" customFormat="1" ht="25.5" x14ac:dyDescent="0.25">
      <c r="B55" s="29" t="s">
        <v>75</v>
      </c>
      <c r="C55" s="27" t="s">
        <v>169</v>
      </c>
      <c r="D55" s="27" t="s">
        <v>158</v>
      </c>
      <c r="E55" s="27" t="s">
        <v>129</v>
      </c>
      <c r="F55" s="28">
        <v>0</v>
      </c>
      <c r="G55" s="31">
        <v>7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B55" s="35">
        <v>15</v>
      </c>
      <c r="AC55" s="35">
        <v>1</v>
      </c>
      <c r="AD55" s="35">
        <v>1</v>
      </c>
      <c r="AE55" s="35">
        <v>1</v>
      </c>
      <c r="AF55" s="32">
        <v>0</v>
      </c>
      <c r="AG55" s="35">
        <v>1</v>
      </c>
    </row>
    <row r="56" spans="2:33" s="2" customFormat="1" ht="25.5" x14ac:dyDescent="0.25">
      <c r="B56" s="29" t="s">
        <v>75</v>
      </c>
      <c r="C56" s="27" t="s">
        <v>169</v>
      </c>
      <c r="D56" s="27" t="s">
        <v>174</v>
      </c>
      <c r="E56" s="27" t="s">
        <v>129</v>
      </c>
      <c r="F56" s="28">
        <v>0</v>
      </c>
      <c r="G56" s="31">
        <v>1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31">
        <v>1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58">
        <f>+(G57*G97)+(H57*H97)+(P57*P97)</f>
        <v>600194756.76970828</v>
      </c>
      <c r="AB56" s="35">
        <v>5</v>
      </c>
      <c r="AC56" s="35">
        <v>0</v>
      </c>
      <c r="AD56" s="35">
        <v>1</v>
      </c>
      <c r="AE56" s="35">
        <v>1</v>
      </c>
      <c r="AF56" s="32">
        <v>0</v>
      </c>
      <c r="AG56" s="35">
        <v>1</v>
      </c>
    </row>
    <row r="57" spans="2:33" s="53" customFormat="1" ht="22.5" x14ac:dyDescent="0.25">
      <c r="B57" s="164" t="s">
        <v>77</v>
      </c>
      <c r="C57" s="164"/>
      <c r="D57" s="164"/>
      <c r="E57" s="164"/>
      <c r="F57" s="98">
        <f>SUM(F50:F56)</f>
        <v>0</v>
      </c>
      <c r="G57" s="98">
        <f>SUM(G50:G56)</f>
        <v>29</v>
      </c>
      <c r="H57" s="98">
        <f t="shared" ref="H57:Z57" si="8">SUM(H50:H56)</f>
        <v>2</v>
      </c>
      <c r="I57" s="98">
        <f t="shared" si="8"/>
        <v>0</v>
      </c>
      <c r="J57" s="98">
        <f t="shared" si="8"/>
        <v>0</v>
      </c>
      <c r="K57" s="98">
        <f t="shared" si="8"/>
        <v>0</v>
      </c>
      <c r="L57" s="98">
        <f t="shared" si="8"/>
        <v>0</v>
      </c>
      <c r="M57" s="98">
        <f t="shared" si="8"/>
        <v>0</v>
      </c>
      <c r="N57" s="98">
        <f t="shared" si="8"/>
        <v>0</v>
      </c>
      <c r="O57" s="98">
        <f t="shared" si="8"/>
        <v>0</v>
      </c>
      <c r="P57" s="98">
        <f t="shared" si="8"/>
        <v>3</v>
      </c>
      <c r="Q57" s="98">
        <f t="shared" si="8"/>
        <v>0</v>
      </c>
      <c r="R57" s="98">
        <f t="shared" si="8"/>
        <v>0</v>
      </c>
      <c r="S57" s="98">
        <f t="shared" si="8"/>
        <v>0</v>
      </c>
      <c r="T57" s="98">
        <f t="shared" si="8"/>
        <v>0</v>
      </c>
      <c r="U57" s="98">
        <f t="shared" si="8"/>
        <v>0</v>
      </c>
      <c r="V57" s="98">
        <f t="shared" si="8"/>
        <v>0</v>
      </c>
      <c r="W57" s="98">
        <f t="shared" si="8"/>
        <v>0</v>
      </c>
      <c r="X57" s="98">
        <f t="shared" si="8"/>
        <v>0</v>
      </c>
      <c r="Y57" s="98">
        <f t="shared" si="8"/>
        <v>0</v>
      </c>
      <c r="Z57" s="98">
        <f t="shared" si="8"/>
        <v>0</v>
      </c>
      <c r="AA57" s="121">
        <f>SUM(F57:Z57)</f>
        <v>34</v>
      </c>
      <c r="AB57" s="123">
        <f>SUM(AB50:AB56)</f>
        <v>121</v>
      </c>
      <c r="AC57" s="123">
        <f t="shared" ref="AC57:AG57" si="9">SUM(AC50:AC56)</f>
        <v>5</v>
      </c>
      <c r="AD57" s="123">
        <f t="shared" si="9"/>
        <v>8</v>
      </c>
      <c r="AE57" s="123">
        <f t="shared" si="9"/>
        <v>8</v>
      </c>
      <c r="AF57" s="123">
        <f t="shared" si="9"/>
        <v>0</v>
      </c>
      <c r="AG57" s="123">
        <f t="shared" si="9"/>
        <v>6</v>
      </c>
    </row>
    <row r="58" spans="2:33" s="2" customFormat="1" x14ac:dyDescent="0.25">
      <c r="B58" s="29" t="s">
        <v>78</v>
      </c>
      <c r="C58" s="27" t="s">
        <v>33</v>
      </c>
      <c r="D58" s="27" t="s">
        <v>160</v>
      </c>
      <c r="E58" s="27" t="s">
        <v>119</v>
      </c>
      <c r="F58" s="28">
        <v>0</v>
      </c>
      <c r="G58" s="31">
        <v>5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B58" s="35">
        <v>26</v>
      </c>
      <c r="AC58" s="35">
        <v>3</v>
      </c>
      <c r="AD58" s="35">
        <v>1</v>
      </c>
      <c r="AE58" s="35">
        <v>1</v>
      </c>
      <c r="AF58" s="35">
        <v>1</v>
      </c>
      <c r="AG58" s="35">
        <v>2</v>
      </c>
    </row>
    <row r="59" spans="2:33" s="2" customFormat="1" x14ac:dyDescent="0.25">
      <c r="B59" s="29" t="s">
        <v>78</v>
      </c>
      <c r="C59" s="27" t="s">
        <v>43</v>
      </c>
      <c r="D59" s="27" t="s">
        <v>164</v>
      </c>
      <c r="E59" s="27" t="s">
        <v>119</v>
      </c>
      <c r="F59" s="28">
        <v>0</v>
      </c>
      <c r="G59" s="31">
        <v>1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B59" s="32">
        <v>0</v>
      </c>
      <c r="AC59" s="32">
        <v>0</v>
      </c>
      <c r="AD59" s="32">
        <v>0</v>
      </c>
      <c r="AE59" s="32">
        <v>0</v>
      </c>
      <c r="AF59" s="32">
        <v>0</v>
      </c>
      <c r="AG59" s="32">
        <v>0</v>
      </c>
    </row>
    <row r="60" spans="2:33" s="2" customFormat="1" ht="25.5" x14ac:dyDescent="0.25">
      <c r="B60" s="30" t="s">
        <v>78</v>
      </c>
      <c r="C60" s="27" t="s">
        <v>79</v>
      </c>
      <c r="D60" s="27" t="s">
        <v>161</v>
      </c>
      <c r="E60" s="27" t="s">
        <v>119</v>
      </c>
      <c r="F60" s="28">
        <v>0</v>
      </c>
      <c r="G60" s="36">
        <v>1</v>
      </c>
      <c r="H60" s="31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B60" s="32">
        <v>0</v>
      </c>
      <c r="AC60" s="32">
        <v>0</v>
      </c>
      <c r="AD60" s="32">
        <v>0</v>
      </c>
      <c r="AE60" s="32">
        <v>0</v>
      </c>
      <c r="AF60" s="32">
        <v>0</v>
      </c>
      <c r="AG60" s="32">
        <v>0</v>
      </c>
    </row>
    <row r="61" spans="2:33" s="2" customFormat="1" ht="25.5" x14ac:dyDescent="0.25">
      <c r="B61" s="30" t="s">
        <v>78</v>
      </c>
      <c r="C61" s="27" t="s">
        <v>79</v>
      </c>
      <c r="D61" s="27" t="s">
        <v>162</v>
      </c>
      <c r="E61" s="27" t="s">
        <v>119</v>
      </c>
      <c r="F61" s="28">
        <v>0</v>
      </c>
      <c r="G61" s="36">
        <v>3</v>
      </c>
      <c r="H61" s="31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B61" s="35">
        <v>16</v>
      </c>
      <c r="AC61" s="32">
        <v>0</v>
      </c>
      <c r="AD61" s="35">
        <v>1</v>
      </c>
      <c r="AE61" s="35">
        <v>1</v>
      </c>
      <c r="AF61" s="35">
        <v>1</v>
      </c>
      <c r="AG61" s="35">
        <v>1</v>
      </c>
    </row>
    <row r="62" spans="2:33" s="2" customFormat="1" ht="25.5" x14ac:dyDescent="0.25">
      <c r="B62" s="30" t="s">
        <v>78</v>
      </c>
      <c r="C62" s="27" t="s">
        <v>79</v>
      </c>
      <c r="D62" s="27" t="s">
        <v>163</v>
      </c>
      <c r="E62" s="27" t="s">
        <v>119</v>
      </c>
      <c r="F62" s="28">
        <v>0</v>
      </c>
      <c r="G62" s="36">
        <v>1</v>
      </c>
      <c r="H62" s="31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B62" s="32">
        <v>0</v>
      </c>
      <c r="AC62" s="32">
        <v>0</v>
      </c>
      <c r="AD62" s="32">
        <v>0</v>
      </c>
      <c r="AE62" s="32">
        <v>0</v>
      </c>
      <c r="AF62" s="32">
        <v>0</v>
      </c>
      <c r="AG62" s="32">
        <v>0</v>
      </c>
    </row>
    <row r="63" spans="2:33" s="2" customFormat="1" ht="38.25" x14ac:dyDescent="0.25">
      <c r="B63" s="30" t="s">
        <v>78</v>
      </c>
      <c r="C63" s="27" t="s">
        <v>79</v>
      </c>
      <c r="D63" s="27" t="s">
        <v>80</v>
      </c>
      <c r="E63" s="27" t="s">
        <v>119</v>
      </c>
      <c r="F63" s="28">
        <v>0</v>
      </c>
      <c r="G63" s="36">
        <v>2</v>
      </c>
      <c r="H63" s="31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B63" s="35">
        <v>23</v>
      </c>
      <c r="AC63" s="32">
        <v>0</v>
      </c>
      <c r="AD63" s="35">
        <v>1</v>
      </c>
      <c r="AE63" s="35">
        <v>1</v>
      </c>
      <c r="AF63" s="35">
        <v>1</v>
      </c>
      <c r="AG63" s="35">
        <v>1</v>
      </c>
    </row>
    <row r="64" spans="2:33" s="2" customFormat="1" ht="25.5" x14ac:dyDescent="0.25">
      <c r="B64" s="29" t="s">
        <v>78</v>
      </c>
      <c r="C64" s="27" t="s">
        <v>81</v>
      </c>
      <c r="D64" s="27" t="s">
        <v>82</v>
      </c>
      <c r="E64" s="27" t="s">
        <v>130</v>
      </c>
      <c r="F64" s="28">
        <v>0</v>
      </c>
      <c r="G64" s="31">
        <v>4</v>
      </c>
      <c r="H64" s="28">
        <v>0</v>
      </c>
      <c r="I64" s="28">
        <v>0</v>
      </c>
      <c r="J64" s="28">
        <v>0</v>
      </c>
      <c r="K64" s="28">
        <v>0</v>
      </c>
      <c r="L64" s="31">
        <v>1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31">
        <v>1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B64" s="35">
        <v>28</v>
      </c>
      <c r="AC64" s="35">
        <v>4</v>
      </c>
      <c r="AD64" s="35">
        <v>2</v>
      </c>
      <c r="AE64" s="35">
        <v>2</v>
      </c>
      <c r="AF64" s="35">
        <v>2</v>
      </c>
      <c r="AG64" s="35">
        <v>5</v>
      </c>
    </row>
    <row r="65" spans="2:33" s="2" customFormat="1" ht="25.5" x14ac:dyDescent="0.25">
      <c r="B65" s="29" t="s">
        <v>78</v>
      </c>
      <c r="C65" s="27" t="s">
        <v>83</v>
      </c>
      <c r="D65" s="27" t="s">
        <v>141</v>
      </c>
      <c r="E65" s="27" t="s">
        <v>131</v>
      </c>
      <c r="F65" s="31">
        <v>2</v>
      </c>
      <c r="G65" s="31">
        <v>3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B65" s="35">
        <v>19</v>
      </c>
      <c r="AC65" s="35">
        <v>4</v>
      </c>
      <c r="AD65" s="35">
        <v>2</v>
      </c>
      <c r="AE65" s="35">
        <v>2</v>
      </c>
      <c r="AF65" s="35">
        <v>2</v>
      </c>
      <c r="AG65" s="35">
        <v>5</v>
      </c>
    </row>
    <row r="66" spans="2:33" s="2" customFormat="1" ht="25.5" x14ac:dyDescent="0.25">
      <c r="B66" s="30" t="s">
        <v>78</v>
      </c>
      <c r="C66" s="27" t="s">
        <v>84</v>
      </c>
      <c r="D66" s="27" t="s">
        <v>85</v>
      </c>
      <c r="E66" s="27" t="s">
        <v>132</v>
      </c>
      <c r="F66" s="36">
        <v>1</v>
      </c>
      <c r="G66" s="36">
        <v>5</v>
      </c>
      <c r="H66" s="31">
        <v>1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B66" s="35">
        <v>67</v>
      </c>
      <c r="AC66" s="35">
        <v>2</v>
      </c>
      <c r="AD66" s="35">
        <v>3</v>
      </c>
      <c r="AE66" s="35">
        <v>3</v>
      </c>
      <c r="AF66" s="35">
        <v>1</v>
      </c>
      <c r="AG66" s="35">
        <v>3</v>
      </c>
    </row>
    <row r="67" spans="2:33" s="2" customFormat="1" ht="25.5" x14ac:dyDescent="0.25">
      <c r="B67" s="30" t="s">
        <v>78</v>
      </c>
      <c r="C67" s="27" t="s">
        <v>84</v>
      </c>
      <c r="D67" s="27" t="s">
        <v>140</v>
      </c>
      <c r="E67" s="27" t="s">
        <v>132</v>
      </c>
      <c r="F67" s="28">
        <v>0</v>
      </c>
      <c r="G67" s="36">
        <v>1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B67" s="35">
        <v>8</v>
      </c>
      <c r="AC67" s="35">
        <v>1</v>
      </c>
      <c r="AD67" s="35">
        <v>1</v>
      </c>
      <c r="AE67" s="35">
        <v>1</v>
      </c>
      <c r="AF67" s="32">
        <v>0</v>
      </c>
      <c r="AG67" s="32">
        <v>0</v>
      </c>
    </row>
    <row r="68" spans="2:33" s="2" customFormat="1" ht="25.5" x14ac:dyDescent="0.25">
      <c r="B68" s="30" t="s">
        <v>78</v>
      </c>
      <c r="C68" s="27" t="s">
        <v>84</v>
      </c>
      <c r="D68" s="27" t="s">
        <v>86</v>
      </c>
      <c r="E68" s="27" t="s">
        <v>132</v>
      </c>
      <c r="F68" s="28">
        <v>0</v>
      </c>
      <c r="G68" s="36">
        <v>2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B68" s="32">
        <v>0</v>
      </c>
      <c r="AC68" s="32">
        <v>0</v>
      </c>
      <c r="AD68" s="32">
        <v>0</v>
      </c>
      <c r="AE68" s="32">
        <v>0</v>
      </c>
      <c r="AF68" s="32">
        <v>0</v>
      </c>
      <c r="AG68" s="32">
        <v>0</v>
      </c>
    </row>
    <row r="69" spans="2:33" s="2" customFormat="1" ht="25.5" x14ac:dyDescent="0.25">
      <c r="B69" s="29" t="s">
        <v>78</v>
      </c>
      <c r="C69" s="27" t="s">
        <v>87</v>
      </c>
      <c r="D69" s="27" t="s">
        <v>165</v>
      </c>
      <c r="E69" s="27" t="s">
        <v>132</v>
      </c>
      <c r="F69" s="28">
        <v>0</v>
      </c>
      <c r="G69" s="31">
        <v>2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B69" s="35">
        <v>13</v>
      </c>
      <c r="AC69" s="35">
        <v>3</v>
      </c>
      <c r="AD69" s="35">
        <v>1</v>
      </c>
      <c r="AE69" s="35">
        <v>1</v>
      </c>
      <c r="AF69" s="32">
        <v>0</v>
      </c>
      <c r="AG69" s="32">
        <v>0</v>
      </c>
    </row>
    <row r="70" spans="2:33" s="2" customFormat="1" ht="25.5" x14ac:dyDescent="0.25">
      <c r="B70" s="29" t="s">
        <v>78</v>
      </c>
      <c r="C70" s="27" t="s">
        <v>87</v>
      </c>
      <c r="D70" s="27" t="s">
        <v>142</v>
      </c>
      <c r="E70" s="27" t="s">
        <v>132</v>
      </c>
      <c r="F70" s="28">
        <v>0</v>
      </c>
      <c r="G70" s="31">
        <v>1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B70" s="32">
        <v>0</v>
      </c>
      <c r="AC70" s="32">
        <v>0</v>
      </c>
      <c r="AD70" s="32">
        <v>0</v>
      </c>
      <c r="AE70" s="32">
        <v>0</v>
      </c>
      <c r="AF70" s="32">
        <v>0</v>
      </c>
      <c r="AG70" s="32">
        <v>0</v>
      </c>
    </row>
    <row r="71" spans="2:33" s="2" customFormat="1" ht="25.5" x14ac:dyDescent="0.25">
      <c r="B71" s="29" t="s">
        <v>78</v>
      </c>
      <c r="C71" s="27" t="s">
        <v>87</v>
      </c>
      <c r="D71" s="27" t="s">
        <v>88</v>
      </c>
      <c r="E71" s="27" t="s">
        <v>133</v>
      </c>
      <c r="F71" s="28">
        <v>0</v>
      </c>
      <c r="G71" s="31">
        <v>3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31">
        <v>1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B71" s="35">
        <v>28</v>
      </c>
      <c r="AC71" s="35">
        <v>4</v>
      </c>
      <c r="AD71" s="32">
        <v>0</v>
      </c>
      <c r="AE71" s="32">
        <v>0</v>
      </c>
      <c r="AF71" s="35">
        <v>1</v>
      </c>
      <c r="AG71" s="35">
        <v>1</v>
      </c>
    </row>
    <row r="72" spans="2:33" s="2" customFormat="1" ht="38.25" x14ac:dyDescent="0.25">
      <c r="B72" s="29" t="s">
        <v>78</v>
      </c>
      <c r="C72" s="27" t="s">
        <v>87</v>
      </c>
      <c r="D72" s="27" t="s">
        <v>192</v>
      </c>
      <c r="E72" s="27" t="s">
        <v>119</v>
      </c>
      <c r="F72" s="28">
        <v>0</v>
      </c>
      <c r="G72" s="31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31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B72" s="32">
        <v>0</v>
      </c>
      <c r="AC72" s="32">
        <v>0</v>
      </c>
      <c r="AD72" s="32">
        <v>0</v>
      </c>
      <c r="AE72" s="32">
        <v>0</v>
      </c>
      <c r="AF72" s="32">
        <v>0</v>
      </c>
      <c r="AG72" s="32">
        <v>0</v>
      </c>
    </row>
    <row r="73" spans="2:33" s="2" customFormat="1" x14ac:dyDescent="0.25">
      <c r="B73" s="30" t="s">
        <v>78</v>
      </c>
      <c r="C73" s="27" t="s">
        <v>89</v>
      </c>
      <c r="D73" s="27" t="s">
        <v>175</v>
      </c>
      <c r="E73" s="27" t="s">
        <v>120</v>
      </c>
      <c r="F73" s="33">
        <v>0</v>
      </c>
      <c r="G73" s="37">
        <v>3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34">
        <v>0</v>
      </c>
      <c r="V73" s="34">
        <v>0</v>
      </c>
      <c r="W73" s="34">
        <v>0</v>
      </c>
      <c r="X73" s="28">
        <v>0</v>
      </c>
      <c r="Y73" s="28">
        <v>0</v>
      </c>
      <c r="Z73" s="28">
        <v>0</v>
      </c>
      <c r="AB73" s="35">
        <v>24</v>
      </c>
      <c r="AC73" s="35">
        <v>1</v>
      </c>
      <c r="AD73" s="35">
        <v>1</v>
      </c>
      <c r="AE73" s="35">
        <v>1</v>
      </c>
      <c r="AF73" s="32">
        <v>0</v>
      </c>
      <c r="AG73" s="35">
        <v>4</v>
      </c>
    </row>
    <row r="74" spans="2:33" s="2" customFormat="1" x14ac:dyDescent="0.25">
      <c r="B74" s="30" t="s">
        <v>78</v>
      </c>
      <c r="C74" s="27" t="s">
        <v>89</v>
      </c>
      <c r="D74" s="27" t="s">
        <v>176</v>
      </c>
      <c r="E74" s="27" t="s">
        <v>118</v>
      </c>
      <c r="F74" s="33">
        <v>0</v>
      </c>
      <c r="G74" s="37">
        <v>1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34">
        <v>0</v>
      </c>
      <c r="V74" s="34">
        <v>0</v>
      </c>
      <c r="W74" s="34">
        <v>0</v>
      </c>
      <c r="X74" s="28">
        <v>0</v>
      </c>
      <c r="Y74" s="28">
        <v>0</v>
      </c>
      <c r="Z74" s="28">
        <v>0</v>
      </c>
      <c r="AB74" s="35">
        <v>8</v>
      </c>
      <c r="AC74" s="32">
        <v>0</v>
      </c>
      <c r="AD74" s="35">
        <v>1</v>
      </c>
      <c r="AE74" s="35">
        <v>1</v>
      </c>
      <c r="AF74" s="32">
        <v>0</v>
      </c>
      <c r="AG74" s="35">
        <v>2</v>
      </c>
    </row>
    <row r="75" spans="2:33" s="2" customFormat="1" ht="25.5" x14ac:dyDescent="0.25">
      <c r="B75" s="29" t="s">
        <v>78</v>
      </c>
      <c r="C75" s="27" t="s">
        <v>90</v>
      </c>
      <c r="D75" s="27" t="s">
        <v>177</v>
      </c>
      <c r="E75" s="27" t="s">
        <v>116</v>
      </c>
      <c r="F75" s="28">
        <v>0</v>
      </c>
      <c r="G75" s="31">
        <v>3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B75" s="35">
        <v>9</v>
      </c>
      <c r="AC75" s="35">
        <v>2</v>
      </c>
      <c r="AD75" s="35">
        <v>1</v>
      </c>
      <c r="AE75" s="35">
        <v>1</v>
      </c>
      <c r="AF75" s="35">
        <v>1</v>
      </c>
      <c r="AG75" s="35">
        <v>2</v>
      </c>
    </row>
    <row r="76" spans="2:33" s="2" customFormat="1" ht="25.5" x14ac:dyDescent="0.25">
      <c r="B76" s="29" t="s">
        <v>78</v>
      </c>
      <c r="C76" s="27" t="s">
        <v>91</v>
      </c>
      <c r="D76" s="27" t="s">
        <v>166</v>
      </c>
      <c r="E76" s="27" t="s">
        <v>117</v>
      </c>
      <c r="F76" s="28">
        <v>0</v>
      </c>
      <c r="G76" s="31">
        <v>3</v>
      </c>
      <c r="H76" s="28">
        <v>0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B76" s="35">
        <v>11</v>
      </c>
      <c r="AC76" s="35">
        <v>2</v>
      </c>
      <c r="AD76" s="35">
        <v>1</v>
      </c>
      <c r="AE76" s="35">
        <v>1</v>
      </c>
      <c r="AF76" s="32">
        <v>0</v>
      </c>
      <c r="AG76" s="35">
        <v>6</v>
      </c>
    </row>
    <row r="77" spans="2:33" s="2" customFormat="1" ht="25.5" x14ac:dyDescent="0.25">
      <c r="B77" s="29" t="s">
        <v>78</v>
      </c>
      <c r="C77" s="27" t="s">
        <v>91</v>
      </c>
      <c r="D77" s="27" t="s">
        <v>199</v>
      </c>
      <c r="E77" s="27" t="s">
        <v>116</v>
      </c>
      <c r="F77" s="28">
        <v>0</v>
      </c>
      <c r="G77" s="31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31">
        <v>1</v>
      </c>
      <c r="X77" s="28">
        <v>0</v>
      </c>
      <c r="Y77" s="28">
        <v>0</v>
      </c>
      <c r="Z77" s="28">
        <v>0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32">
        <v>0</v>
      </c>
    </row>
    <row r="78" spans="2:33" s="2" customFormat="1" ht="25.5" x14ac:dyDescent="0.25">
      <c r="B78" s="29" t="s">
        <v>78</v>
      </c>
      <c r="C78" s="27" t="s">
        <v>91</v>
      </c>
      <c r="D78" s="27" t="s">
        <v>92</v>
      </c>
      <c r="E78" s="27" t="s">
        <v>134</v>
      </c>
      <c r="F78" s="28">
        <v>0</v>
      </c>
      <c r="G78" s="31">
        <v>1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B78" s="35">
        <v>5</v>
      </c>
      <c r="AC78" s="35">
        <v>2</v>
      </c>
      <c r="AD78" s="35">
        <v>1</v>
      </c>
      <c r="AE78" s="35">
        <v>1</v>
      </c>
      <c r="AF78" s="32">
        <v>0</v>
      </c>
      <c r="AG78" s="35">
        <v>1</v>
      </c>
    </row>
    <row r="79" spans="2:33" s="2" customFormat="1" ht="25.5" x14ac:dyDescent="0.25">
      <c r="B79" s="30" t="s">
        <v>78</v>
      </c>
      <c r="C79" s="27" t="s">
        <v>93</v>
      </c>
      <c r="D79" s="27" t="s">
        <v>167</v>
      </c>
      <c r="E79" s="27" t="s">
        <v>135</v>
      </c>
      <c r="F79" s="28">
        <v>0</v>
      </c>
      <c r="G79" s="36">
        <v>3</v>
      </c>
      <c r="H79" s="31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B79" s="35">
        <v>19</v>
      </c>
      <c r="AC79" s="32">
        <v>0</v>
      </c>
      <c r="AD79" s="35">
        <v>1</v>
      </c>
      <c r="AE79" s="35">
        <v>1</v>
      </c>
      <c r="AF79" s="32">
        <v>0</v>
      </c>
      <c r="AG79" s="35">
        <v>2</v>
      </c>
    </row>
    <row r="80" spans="2:33" s="2" customFormat="1" ht="25.5" x14ac:dyDescent="0.25">
      <c r="B80" s="30" t="s">
        <v>78</v>
      </c>
      <c r="C80" s="27" t="s">
        <v>93</v>
      </c>
      <c r="D80" s="27" t="s">
        <v>194</v>
      </c>
      <c r="E80" s="27" t="s">
        <v>136</v>
      </c>
      <c r="F80" s="28">
        <v>0</v>
      </c>
      <c r="G80" s="36">
        <v>2</v>
      </c>
      <c r="H80" s="31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B80" s="35">
        <v>16</v>
      </c>
      <c r="AC80" s="32">
        <v>0</v>
      </c>
      <c r="AD80" s="35">
        <v>1</v>
      </c>
      <c r="AE80" s="35">
        <v>1</v>
      </c>
      <c r="AF80" s="32">
        <v>0</v>
      </c>
      <c r="AG80" s="32">
        <v>0</v>
      </c>
    </row>
    <row r="81" spans="2:33" s="2" customFormat="1" ht="25.5" x14ac:dyDescent="0.25">
      <c r="B81" s="30" t="s">
        <v>78</v>
      </c>
      <c r="C81" s="27" t="s">
        <v>93</v>
      </c>
      <c r="D81" s="27" t="s">
        <v>143</v>
      </c>
      <c r="E81" s="27" t="s">
        <v>122</v>
      </c>
      <c r="F81" s="28">
        <v>0</v>
      </c>
      <c r="G81" s="36">
        <v>3</v>
      </c>
      <c r="H81" s="31">
        <v>0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B81" s="35">
        <v>15</v>
      </c>
      <c r="AC81" s="32">
        <v>0</v>
      </c>
      <c r="AD81" s="35">
        <v>1</v>
      </c>
      <c r="AE81" s="35">
        <v>1</v>
      </c>
      <c r="AF81" s="32">
        <v>0</v>
      </c>
      <c r="AG81" s="35">
        <v>2</v>
      </c>
    </row>
    <row r="82" spans="2:33" s="2" customFormat="1" ht="25.5" x14ac:dyDescent="0.25">
      <c r="B82" s="30" t="s">
        <v>78</v>
      </c>
      <c r="C82" s="27" t="s">
        <v>93</v>
      </c>
      <c r="D82" s="27" t="s">
        <v>94</v>
      </c>
      <c r="E82" s="27" t="s">
        <v>137</v>
      </c>
      <c r="F82" s="28">
        <v>0</v>
      </c>
      <c r="G82" s="36">
        <v>1</v>
      </c>
      <c r="H82" s="31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B82" s="35">
        <v>22</v>
      </c>
      <c r="AC82" s="35">
        <v>4</v>
      </c>
      <c r="AD82" s="35">
        <v>1</v>
      </c>
      <c r="AE82" s="35">
        <v>1</v>
      </c>
      <c r="AF82" s="32">
        <v>0</v>
      </c>
      <c r="AG82" s="35">
        <v>4</v>
      </c>
    </row>
    <row r="83" spans="2:33" s="2" customFormat="1" ht="25.5" x14ac:dyDescent="0.25">
      <c r="B83" s="29" t="s">
        <v>78</v>
      </c>
      <c r="C83" s="27" t="s">
        <v>95</v>
      </c>
      <c r="D83" s="27" t="s">
        <v>193</v>
      </c>
      <c r="E83" s="27" t="s">
        <v>138</v>
      </c>
      <c r="F83" s="28">
        <v>0</v>
      </c>
      <c r="G83" s="31">
        <v>5</v>
      </c>
      <c r="H83" s="31">
        <v>1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B83" s="35">
        <v>8</v>
      </c>
      <c r="AC83" s="35">
        <v>2</v>
      </c>
      <c r="AD83" s="35">
        <v>1</v>
      </c>
      <c r="AE83" s="35">
        <v>1</v>
      </c>
      <c r="AF83" s="32">
        <v>0</v>
      </c>
      <c r="AG83" s="32">
        <v>0</v>
      </c>
    </row>
    <row r="84" spans="2:33" s="2" customFormat="1" ht="25.5" x14ac:dyDescent="0.25">
      <c r="B84" s="29" t="s">
        <v>78</v>
      </c>
      <c r="C84" s="27" t="s">
        <v>95</v>
      </c>
      <c r="D84" s="27" t="s">
        <v>168</v>
      </c>
      <c r="E84" s="27" t="s">
        <v>138</v>
      </c>
      <c r="F84" s="28">
        <v>0</v>
      </c>
      <c r="G84" s="31">
        <v>1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58">
        <f>(AA85/30)*30</f>
        <v>1297262331.5107317</v>
      </c>
      <c r="AB84" s="35">
        <v>12</v>
      </c>
      <c r="AC84" s="32">
        <v>0</v>
      </c>
      <c r="AD84" s="35">
        <v>1</v>
      </c>
      <c r="AE84" s="35">
        <v>1</v>
      </c>
      <c r="AF84" s="32">
        <v>0</v>
      </c>
      <c r="AG84" s="32">
        <v>0</v>
      </c>
    </row>
    <row r="85" spans="2:33" s="2" customFormat="1" ht="25.5" x14ac:dyDescent="0.25">
      <c r="B85" s="29" t="s">
        <v>78</v>
      </c>
      <c r="C85" s="27" t="s">
        <v>95</v>
      </c>
      <c r="D85" s="27" t="s">
        <v>139</v>
      </c>
      <c r="E85" s="27" t="s">
        <v>197</v>
      </c>
      <c r="F85" s="28">
        <v>0</v>
      </c>
      <c r="G85" s="31">
        <v>2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58">
        <f>+(F86*F97)+(G86*G97)+(H86*H97)+(L86*L97)+(P86*P97)+(U86*U97)+(W86*W97)</f>
        <v>1297262331.5107317</v>
      </c>
      <c r="AB85" s="32">
        <v>0</v>
      </c>
      <c r="AC85" s="32">
        <v>0</v>
      </c>
      <c r="AD85" s="32">
        <v>0</v>
      </c>
      <c r="AE85" s="32">
        <v>0</v>
      </c>
      <c r="AF85" s="32">
        <v>0</v>
      </c>
      <c r="AG85" s="32">
        <v>0</v>
      </c>
    </row>
    <row r="86" spans="2:33" s="53" customFormat="1" ht="22.5" x14ac:dyDescent="0.25">
      <c r="B86" s="164" t="s">
        <v>96</v>
      </c>
      <c r="C86" s="164"/>
      <c r="D86" s="164"/>
      <c r="E86" s="164"/>
      <c r="F86" s="98">
        <f t="shared" ref="F86:Z86" si="10">SUM(F58:F85)</f>
        <v>3</v>
      </c>
      <c r="G86" s="98">
        <f t="shared" si="10"/>
        <v>62</v>
      </c>
      <c r="H86" s="98">
        <f t="shared" si="10"/>
        <v>2</v>
      </c>
      <c r="I86" s="98">
        <f t="shared" si="10"/>
        <v>0</v>
      </c>
      <c r="J86" s="98">
        <f t="shared" si="10"/>
        <v>0</v>
      </c>
      <c r="K86" s="98">
        <f t="shared" si="10"/>
        <v>0</v>
      </c>
      <c r="L86" s="98">
        <f t="shared" si="10"/>
        <v>1</v>
      </c>
      <c r="M86" s="98">
        <f t="shared" si="10"/>
        <v>0</v>
      </c>
      <c r="N86" s="98">
        <f t="shared" si="10"/>
        <v>0</v>
      </c>
      <c r="O86" s="98">
        <f t="shared" si="10"/>
        <v>0</v>
      </c>
      <c r="P86" s="98">
        <f t="shared" si="10"/>
        <v>2</v>
      </c>
      <c r="Q86" s="98">
        <f t="shared" si="10"/>
        <v>0</v>
      </c>
      <c r="R86" s="98">
        <f t="shared" si="10"/>
        <v>0</v>
      </c>
      <c r="S86" s="98">
        <f t="shared" si="10"/>
        <v>0</v>
      </c>
      <c r="T86" s="98">
        <f t="shared" si="10"/>
        <v>0</v>
      </c>
      <c r="U86" s="98">
        <f t="shared" si="10"/>
        <v>1</v>
      </c>
      <c r="V86" s="98">
        <f t="shared" si="10"/>
        <v>0</v>
      </c>
      <c r="W86" s="98">
        <f t="shared" si="10"/>
        <v>1</v>
      </c>
      <c r="X86" s="98">
        <f t="shared" si="10"/>
        <v>0</v>
      </c>
      <c r="Y86" s="98">
        <f t="shared" si="10"/>
        <v>0</v>
      </c>
      <c r="Z86" s="98">
        <f t="shared" si="10"/>
        <v>0</v>
      </c>
      <c r="AA86" s="121">
        <f>SUM(F86:Z86)</f>
        <v>72</v>
      </c>
      <c r="AB86" s="124">
        <f t="shared" ref="AB86:AG86" si="11">SUM(AB58:AB85)</f>
        <v>377</v>
      </c>
      <c r="AC86" s="124">
        <f t="shared" si="11"/>
        <v>34</v>
      </c>
      <c r="AD86" s="124">
        <f t="shared" si="11"/>
        <v>23</v>
      </c>
      <c r="AE86" s="124">
        <f t="shared" si="11"/>
        <v>23</v>
      </c>
      <c r="AF86" s="124">
        <f t="shared" si="11"/>
        <v>10</v>
      </c>
      <c r="AG86" s="124">
        <f t="shared" si="11"/>
        <v>41</v>
      </c>
    </row>
    <row r="87" spans="2:33" s="54" customFormat="1" ht="19.5" x14ac:dyDescent="0.25">
      <c r="B87" s="55"/>
      <c r="C87" s="55"/>
      <c r="D87" s="55"/>
      <c r="E87" s="55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7"/>
    </row>
    <row r="88" spans="2:33" s="4" customFormat="1" ht="24" x14ac:dyDescent="0.25">
      <c r="B88" s="3"/>
      <c r="C88" s="3"/>
      <c r="D88" s="3"/>
      <c r="E88" s="69" t="s">
        <v>97</v>
      </c>
      <c r="F88" s="66">
        <f t="shared" ref="F88:Z88" si="12">+F12+F18+F33+F49+F57+F86</f>
        <v>9</v>
      </c>
      <c r="G88" s="66">
        <f t="shared" si="12"/>
        <v>172</v>
      </c>
      <c r="H88" s="66">
        <f t="shared" si="12"/>
        <v>6</v>
      </c>
      <c r="I88" s="66">
        <f t="shared" si="12"/>
        <v>0</v>
      </c>
      <c r="J88" s="66">
        <f t="shared" si="12"/>
        <v>0</v>
      </c>
      <c r="K88" s="66">
        <f t="shared" si="12"/>
        <v>0</v>
      </c>
      <c r="L88" s="66">
        <f t="shared" si="12"/>
        <v>2</v>
      </c>
      <c r="M88" s="66">
        <f t="shared" si="12"/>
        <v>1</v>
      </c>
      <c r="N88" s="66">
        <f t="shared" si="12"/>
        <v>0</v>
      </c>
      <c r="O88" s="66">
        <f t="shared" si="12"/>
        <v>0</v>
      </c>
      <c r="P88" s="66">
        <f t="shared" si="12"/>
        <v>6</v>
      </c>
      <c r="Q88" s="66">
        <f t="shared" si="12"/>
        <v>4</v>
      </c>
      <c r="R88" s="66">
        <f t="shared" si="12"/>
        <v>0</v>
      </c>
      <c r="S88" s="66">
        <f t="shared" si="12"/>
        <v>0</v>
      </c>
      <c r="T88" s="66">
        <f t="shared" si="12"/>
        <v>0</v>
      </c>
      <c r="U88" s="66">
        <f t="shared" si="12"/>
        <v>1</v>
      </c>
      <c r="V88" s="66">
        <f t="shared" si="12"/>
        <v>2</v>
      </c>
      <c r="W88" s="66">
        <f t="shared" si="12"/>
        <v>1</v>
      </c>
      <c r="X88" s="66">
        <f t="shared" si="12"/>
        <v>1</v>
      </c>
      <c r="Y88" s="66">
        <f t="shared" si="12"/>
        <v>2</v>
      </c>
      <c r="Z88" s="66">
        <f t="shared" si="12"/>
        <v>0</v>
      </c>
      <c r="AA88" s="51">
        <f>+AA12+AA18+AA33+AA49+AA57+AA86</f>
        <v>207</v>
      </c>
      <c r="AB88" s="125">
        <f t="shared" ref="AB88:AG88" si="13">+AB12+AB18+AB33+AB49+AB57+AB86</f>
        <v>883</v>
      </c>
      <c r="AC88" s="125">
        <f t="shared" si="13"/>
        <v>59</v>
      </c>
      <c r="AD88" s="125">
        <f t="shared" si="13"/>
        <v>61</v>
      </c>
      <c r="AE88" s="125">
        <f t="shared" si="13"/>
        <v>59</v>
      </c>
      <c r="AF88" s="125">
        <f t="shared" si="13"/>
        <v>16</v>
      </c>
      <c r="AG88" s="125">
        <f t="shared" si="13"/>
        <v>94</v>
      </c>
    </row>
    <row r="89" spans="2:33" s="4" customFormat="1" x14ac:dyDescent="0.25">
      <c r="B89" s="3"/>
      <c r="C89" s="5"/>
      <c r="D89" s="5"/>
      <c r="E89" s="65" t="s">
        <v>98</v>
      </c>
      <c r="F89" s="66">
        <v>3</v>
      </c>
      <c r="G89" s="66">
        <v>3</v>
      </c>
      <c r="H89" s="66">
        <v>3</v>
      </c>
      <c r="I89" s="66">
        <v>3</v>
      </c>
      <c r="J89" s="66">
        <v>3</v>
      </c>
      <c r="K89" s="66">
        <v>3</v>
      </c>
      <c r="L89" s="66">
        <v>2</v>
      </c>
      <c r="M89" s="66">
        <v>2</v>
      </c>
      <c r="N89" s="66">
        <v>2</v>
      </c>
      <c r="O89" s="66">
        <v>1.5</v>
      </c>
      <c r="P89" s="67">
        <v>1.5</v>
      </c>
      <c r="Q89" s="67">
        <v>1.5</v>
      </c>
      <c r="R89" s="66">
        <v>1.5</v>
      </c>
      <c r="S89" s="66">
        <v>1.5</v>
      </c>
      <c r="T89" s="66">
        <v>1.5</v>
      </c>
      <c r="U89" s="66">
        <v>1</v>
      </c>
      <c r="V89" s="66">
        <v>1</v>
      </c>
      <c r="W89" s="66">
        <v>1</v>
      </c>
      <c r="X89" s="66">
        <v>1</v>
      </c>
      <c r="Y89" s="66">
        <v>1</v>
      </c>
      <c r="Z89" s="66">
        <v>1</v>
      </c>
      <c r="AA89" s="52"/>
    </row>
    <row r="90" spans="2:33" s="4" customFormat="1" ht="22.5" x14ac:dyDescent="0.25">
      <c r="B90" s="3"/>
      <c r="C90" s="5"/>
      <c r="D90" s="5"/>
      <c r="E90" s="65" t="s">
        <v>99</v>
      </c>
      <c r="F90" s="66">
        <f>F89*F88</f>
        <v>27</v>
      </c>
      <c r="G90" s="66">
        <f t="shared" ref="G90:Z90" si="14">G89*G88</f>
        <v>516</v>
      </c>
      <c r="H90" s="66">
        <f t="shared" si="14"/>
        <v>18</v>
      </c>
      <c r="I90" s="66">
        <f t="shared" si="14"/>
        <v>0</v>
      </c>
      <c r="J90" s="66">
        <f t="shared" si="14"/>
        <v>0</v>
      </c>
      <c r="K90" s="66">
        <f t="shared" si="14"/>
        <v>0</v>
      </c>
      <c r="L90" s="66">
        <f t="shared" si="14"/>
        <v>4</v>
      </c>
      <c r="M90" s="66">
        <f t="shared" si="14"/>
        <v>2</v>
      </c>
      <c r="N90" s="66">
        <f t="shared" si="14"/>
        <v>0</v>
      </c>
      <c r="O90" s="66">
        <f t="shared" si="14"/>
        <v>0</v>
      </c>
      <c r="P90" s="67">
        <f t="shared" si="14"/>
        <v>9</v>
      </c>
      <c r="Q90" s="67">
        <f t="shared" si="14"/>
        <v>6</v>
      </c>
      <c r="R90" s="67">
        <f t="shared" si="14"/>
        <v>0</v>
      </c>
      <c r="S90" s="67">
        <f t="shared" si="14"/>
        <v>0</v>
      </c>
      <c r="T90" s="67">
        <f t="shared" si="14"/>
        <v>0</v>
      </c>
      <c r="U90" s="66">
        <f t="shared" si="14"/>
        <v>1</v>
      </c>
      <c r="V90" s="66">
        <f t="shared" si="14"/>
        <v>2</v>
      </c>
      <c r="W90" s="66">
        <f t="shared" si="14"/>
        <v>1</v>
      </c>
      <c r="X90" s="66">
        <f t="shared" si="14"/>
        <v>1</v>
      </c>
      <c r="Y90" s="66">
        <f t="shared" si="14"/>
        <v>2</v>
      </c>
      <c r="Z90" s="66">
        <f t="shared" si="14"/>
        <v>0</v>
      </c>
      <c r="AA90" s="159">
        <f>+AA9+AA16+AA30+AA46+AA54+AA84</f>
        <v>3652713095.2611575</v>
      </c>
    </row>
    <row r="91" spans="2:33" s="4" customFormat="1" ht="24" x14ac:dyDescent="0.25">
      <c r="B91" s="3"/>
      <c r="C91" s="5"/>
      <c r="D91" s="5"/>
      <c r="E91" s="65" t="s">
        <v>100</v>
      </c>
      <c r="F91" s="68">
        <v>3000</v>
      </c>
      <c r="G91" s="68">
        <f>$F$91</f>
        <v>3000</v>
      </c>
      <c r="H91" s="68">
        <f t="shared" ref="H91:Z91" si="15">$F$91</f>
        <v>3000</v>
      </c>
      <c r="I91" s="68">
        <f t="shared" si="15"/>
        <v>3000</v>
      </c>
      <c r="J91" s="68">
        <f t="shared" si="15"/>
        <v>3000</v>
      </c>
      <c r="K91" s="68">
        <f t="shared" si="15"/>
        <v>3000</v>
      </c>
      <c r="L91" s="68">
        <f t="shared" si="15"/>
        <v>3000</v>
      </c>
      <c r="M91" s="68">
        <f t="shared" si="15"/>
        <v>3000</v>
      </c>
      <c r="N91" s="68">
        <f t="shared" si="15"/>
        <v>3000</v>
      </c>
      <c r="O91" s="68">
        <f t="shared" si="15"/>
        <v>3000</v>
      </c>
      <c r="P91" s="68">
        <f t="shared" si="15"/>
        <v>3000</v>
      </c>
      <c r="Q91" s="68">
        <f t="shared" si="15"/>
        <v>3000</v>
      </c>
      <c r="R91" s="68">
        <f t="shared" si="15"/>
        <v>3000</v>
      </c>
      <c r="S91" s="68">
        <f t="shared" si="15"/>
        <v>3000</v>
      </c>
      <c r="T91" s="68">
        <f t="shared" si="15"/>
        <v>3000</v>
      </c>
      <c r="U91" s="68">
        <f t="shared" si="15"/>
        <v>3000</v>
      </c>
      <c r="V91" s="68">
        <f t="shared" si="15"/>
        <v>3000</v>
      </c>
      <c r="W91" s="68">
        <f t="shared" si="15"/>
        <v>3000</v>
      </c>
      <c r="X91" s="68">
        <f t="shared" si="15"/>
        <v>3000</v>
      </c>
      <c r="Y91" s="68">
        <f>$F$91</f>
        <v>3000</v>
      </c>
      <c r="Z91" s="68">
        <f t="shared" si="15"/>
        <v>3000</v>
      </c>
      <c r="AA91" s="6"/>
    </row>
    <row r="92" spans="2:33" s="4" customFormat="1" ht="24" x14ac:dyDescent="0.25">
      <c r="B92" s="3"/>
      <c r="C92" s="5"/>
      <c r="D92" s="5"/>
      <c r="E92" s="65" t="s">
        <v>101</v>
      </c>
      <c r="F92" s="68">
        <f>F91*F90</f>
        <v>81000</v>
      </c>
      <c r="G92" s="68">
        <f t="shared" ref="G92:Z92" si="16">G91*G90</f>
        <v>1548000</v>
      </c>
      <c r="H92" s="68">
        <f t="shared" si="16"/>
        <v>54000</v>
      </c>
      <c r="I92" s="68">
        <f t="shared" si="16"/>
        <v>0</v>
      </c>
      <c r="J92" s="68">
        <f t="shared" si="16"/>
        <v>0</v>
      </c>
      <c r="K92" s="68">
        <f t="shared" si="16"/>
        <v>0</v>
      </c>
      <c r="L92" s="68">
        <f t="shared" si="16"/>
        <v>12000</v>
      </c>
      <c r="M92" s="68">
        <f t="shared" si="16"/>
        <v>6000</v>
      </c>
      <c r="N92" s="68">
        <f t="shared" si="16"/>
        <v>0</v>
      </c>
      <c r="O92" s="68">
        <f t="shared" si="16"/>
        <v>0</v>
      </c>
      <c r="P92" s="68">
        <f t="shared" si="16"/>
        <v>27000</v>
      </c>
      <c r="Q92" s="68">
        <f t="shared" si="16"/>
        <v>18000</v>
      </c>
      <c r="R92" s="68">
        <f t="shared" si="16"/>
        <v>0</v>
      </c>
      <c r="S92" s="68">
        <f t="shared" si="16"/>
        <v>0</v>
      </c>
      <c r="T92" s="68">
        <f t="shared" si="16"/>
        <v>0</v>
      </c>
      <c r="U92" s="68">
        <f t="shared" si="16"/>
        <v>3000</v>
      </c>
      <c r="V92" s="68">
        <f t="shared" si="16"/>
        <v>6000</v>
      </c>
      <c r="W92" s="68">
        <f t="shared" si="16"/>
        <v>3000</v>
      </c>
      <c r="X92" s="68">
        <f t="shared" si="16"/>
        <v>3000</v>
      </c>
      <c r="Y92" s="68">
        <f t="shared" si="16"/>
        <v>6000</v>
      </c>
      <c r="Z92" s="68">
        <f t="shared" si="16"/>
        <v>0</v>
      </c>
      <c r="AA92" s="126"/>
    </row>
    <row r="93" spans="2:33" x14ac:dyDescent="0.25">
      <c r="F93" s="127"/>
      <c r="G93" s="127"/>
      <c r="H93" s="127"/>
      <c r="I93" s="127"/>
      <c r="J93" s="127"/>
      <c r="K93" s="127"/>
      <c r="L93" s="127"/>
      <c r="M93" s="127"/>
      <c r="O93" s="128" t="s">
        <v>207</v>
      </c>
    </row>
    <row r="94" spans="2:33" ht="16.5" x14ac:dyDescent="0.25">
      <c r="C94" s="12"/>
      <c r="D94" s="12"/>
      <c r="E94" s="129" t="s">
        <v>102</v>
      </c>
      <c r="F94" s="130">
        <f>((9.77*1750905)+(500*3))</f>
        <v>17107841.849999998</v>
      </c>
      <c r="G94" s="130">
        <f>((9.77*1750905)+(500*3))</f>
        <v>17107841.849999998</v>
      </c>
      <c r="H94" s="130">
        <f>((9.77*1750905)+(500*3))</f>
        <v>17107841.849999998</v>
      </c>
      <c r="I94" s="130">
        <f>(9.29*1423500+(500*3))</f>
        <v>13225814.999999998</v>
      </c>
      <c r="J94" s="130">
        <f>(9.29*1423500+(500*3))/30*20</f>
        <v>8817209.9999999981</v>
      </c>
      <c r="K94" s="130">
        <f>(9.29*1423500+(500*3))/30*24</f>
        <v>10580651.999999998</v>
      </c>
      <c r="L94" s="130">
        <f>(((9.77*1750905+(500*3))*47.59%)+((9.77*1750905+(500*3))*52.41%/11*3))</f>
        <v>10586954.64012</v>
      </c>
      <c r="M94" s="130">
        <f>(((9.77*1750905+(500*3))*47.59%)+((9.77*1750905+(500*3))*52.41%/11*3))/30*20</f>
        <v>7057969.7600799995</v>
      </c>
      <c r="N94" s="130">
        <f>(((9.29*1423500+(500*3))*55.97%)+((9.29*1423500+(500*3))*44.03%/9*1))/30*24</f>
        <v>6439619.9327999987</v>
      </c>
      <c r="O94" s="130">
        <f>((9.77*1750905+(500*3))*47.59%/13*12)</f>
        <v>7515343.3259215374</v>
      </c>
      <c r="P94" s="130">
        <f>((9.77*1750905+(500*3))*47.59%/13*12)/30*20</f>
        <v>5010228.8839476919</v>
      </c>
      <c r="Q94" s="130">
        <f>((9.77*1750905+(500*3))*47.59%/13*12)/30*24</f>
        <v>6012274.6607372295</v>
      </c>
      <c r="R94" s="130">
        <f>(((9.29*1423500+(500*3))*55.97%/15*3)+((9.29*1423500+(500*3))*44.03%/9*9))</f>
        <v>7303824.0755999992</v>
      </c>
      <c r="S94" s="130">
        <f>((((9.29*1423500+(500*3))*55.97%/15*3)+((9.29*1423500+(500*3))*44.03%/9*9))/30)*24</f>
        <v>5843059.2604799997</v>
      </c>
      <c r="T94" s="130">
        <f>(((9.29*1423500+(500*3))*55.97%/15*3)+((9.29*1423500+(500*3))*44.03%/9*9))</f>
        <v>7303824.0755999992</v>
      </c>
      <c r="U94" s="130">
        <f>((9.77*1750905+(500*3))*52.41%/11*8)</f>
        <v>6520887.20988</v>
      </c>
      <c r="V94" s="130">
        <f>((9.77*1750905+(500*3))*52.41%/11*8)</f>
        <v>6520887.20988</v>
      </c>
      <c r="W94" s="130">
        <f>(9.77*1750905+(500*3))*52.41%/11*8/30*20</f>
        <v>4347258.13992</v>
      </c>
      <c r="X94" s="130">
        <f>(9.77*1750905+(500*3))*47.59%/13*8/30*24</f>
        <v>4008183.1071581533</v>
      </c>
      <c r="Y94" s="130">
        <f>(9.77*1750905+(500*3))*47.59%/13*8/30*20</f>
        <v>3340152.5892984611</v>
      </c>
      <c r="Z94" s="130">
        <f>((9.77*1750905+(500*3))*47.59%/13*8)</f>
        <v>5010228.8839476919</v>
      </c>
      <c r="AB94" s="130">
        <v>11227</v>
      </c>
      <c r="AC94" s="130">
        <v>43635</v>
      </c>
      <c r="AD94" s="130">
        <v>55898</v>
      </c>
      <c r="AE94" s="130">
        <v>40588</v>
      </c>
      <c r="AF94" s="130">
        <v>127990</v>
      </c>
      <c r="AG94" s="130">
        <v>43069</v>
      </c>
    </row>
    <row r="95" spans="2:33" ht="16.5" x14ac:dyDescent="0.25">
      <c r="C95" s="12"/>
      <c r="D95" s="12"/>
      <c r="E95" s="129" t="s">
        <v>103</v>
      </c>
      <c r="F95" s="130">
        <f>+F94*0.1</f>
        <v>1710784.1849999998</v>
      </c>
      <c r="G95" s="130">
        <f>+G94*0.08</f>
        <v>1368627.3479999998</v>
      </c>
      <c r="H95" s="130">
        <f t="shared" ref="H95:Z95" si="17">+H94*0.08</f>
        <v>1368627.3479999998</v>
      </c>
      <c r="I95" s="130">
        <f>+I94*0.11</f>
        <v>1454839.65</v>
      </c>
      <c r="J95" s="130">
        <f t="shared" si="17"/>
        <v>705376.79999999981</v>
      </c>
      <c r="K95" s="130">
        <f t="shared" si="17"/>
        <v>846452.15999999992</v>
      </c>
      <c r="L95" s="130">
        <f t="shared" si="17"/>
        <v>846956.37120960001</v>
      </c>
      <c r="M95" s="130">
        <f t="shared" si="17"/>
        <v>564637.58080639993</v>
      </c>
      <c r="N95" s="130">
        <f t="shared" si="17"/>
        <v>515169.5946239999</v>
      </c>
      <c r="O95" s="130">
        <f t="shared" si="17"/>
        <v>601227.46607372304</v>
      </c>
      <c r="P95" s="130">
        <f t="shared" si="17"/>
        <v>400818.31071581534</v>
      </c>
      <c r="Q95" s="130">
        <f t="shared" si="17"/>
        <v>480981.97285897838</v>
      </c>
      <c r="R95" s="130">
        <f t="shared" si="17"/>
        <v>584305.92604799999</v>
      </c>
      <c r="S95" s="130">
        <f t="shared" si="17"/>
        <v>467444.74083839997</v>
      </c>
      <c r="T95" s="130">
        <f>+T94*0.1</f>
        <v>730382.40755999996</v>
      </c>
      <c r="U95" s="130">
        <f>+U94*0.1</f>
        <v>652088.72098800004</v>
      </c>
      <c r="V95" s="130">
        <f t="shared" si="17"/>
        <v>521670.97679039999</v>
      </c>
      <c r="W95" s="130">
        <f t="shared" si="17"/>
        <v>347780.65119360003</v>
      </c>
      <c r="X95" s="130">
        <f t="shared" si="17"/>
        <v>320654.64857265225</v>
      </c>
      <c r="Y95" s="130">
        <f t="shared" si="17"/>
        <v>267212.20714387688</v>
      </c>
      <c r="Z95" s="130">
        <f t="shared" si="17"/>
        <v>400818.31071581534</v>
      </c>
      <c r="AB95" s="130">
        <v>0</v>
      </c>
      <c r="AC95" s="130">
        <v>0</v>
      </c>
      <c r="AD95" s="130">
        <v>0</v>
      </c>
      <c r="AE95" s="130">
        <v>0</v>
      </c>
      <c r="AF95" s="130">
        <v>0</v>
      </c>
      <c r="AG95" s="130">
        <v>0</v>
      </c>
    </row>
    <row r="96" spans="2:33" ht="16.5" x14ac:dyDescent="0.25">
      <c r="C96" s="12"/>
      <c r="D96" s="12"/>
      <c r="E96" s="129" t="s">
        <v>104</v>
      </c>
      <c r="F96" s="130">
        <f>+(F94+F95)*0.019</f>
        <v>357553.89466499991</v>
      </c>
      <c r="G96" s="130">
        <f t="shared" ref="G96:Z96" si="18">+(G94+G95)*0.019</f>
        <v>351052.91476199997</v>
      </c>
      <c r="H96" s="130">
        <f t="shared" si="18"/>
        <v>351052.91476199997</v>
      </c>
      <c r="I96" s="130">
        <f t="shared" si="18"/>
        <v>278932.43834999995</v>
      </c>
      <c r="J96" s="130">
        <f t="shared" si="18"/>
        <v>180929.14919999993</v>
      </c>
      <c r="K96" s="130">
        <f t="shared" si="18"/>
        <v>217114.97903999998</v>
      </c>
      <c r="L96" s="130">
        <f>+(L94+L95)*0.019</f>
        <v>217244.30921526236</v>
      </c>
      <c r="M96" s="130">
        <f t="shared" si="18"/>
        <v>144829.53947684157</v>
      </c>
      <c r="N96" s="130">
        <f t="shared" si="18"/>
        <v>132141.00102105597</v>
      </c>
      <c r="O96" s="130">
        <f t="shared" si="18"/>
        <v>154214.84504790994</v>
      </c>
      <c r="P96" s="130">
        <f t="shared" si="18"/>
        <v>102809.89669860662</v>
      </c>
      <c r="Q96" s="130">
        <f t="shared" si="18"/>
        <v>123371.87603832794</v>
      </c>
      <c r="R96" s="130">
        <f t="shared" si="18"/>
        <v>149874.470031312</v>
      </c>
      <c r="S96" s="130">
        <f t="shared" si="18"/>
        <v>119899.5760250496</v>
      </c>
      <c r="T96" s="130">
        <f t="shared" si="18"/>
        <v>152649.92318003997</v>
      </c>
      <c r="U96" s="130">
        <f t="shared" si="18"/>
        <v>136286.542686492</v>
      </c>
      <c r="V96" s="130">
        <f t="shared" si="18"/>
        <v>133808.60554673761</v>
      </c>
      <c r="W96" s="130">
        <f t="shared" si="18"/>
        <v>89205.737031158395</v>
      </c>
      <c r="X96" s="130">
        <f t="shared" si="18"/>
        <v>82247.917358885315</v>
      </c>
      <c r="Y96" s="130">
        <f t="shared" si="18"/>
        <v>68539.93113240441</v>
      </c>
      <c r="Z96" s="130">
        <f t="shared" si="18"/>
        <v>102809.89669860662</v>
      </c>
      <c r="AB96" s="130">
        <f>+AB94*0.19</f>
        <v>2133.13</v>
      </c>
      <c r="AC96" s="130">
        <f t="shared" ref="AC96:AG96" si="19">+AC94*0.19</f>
        <v>8290.65</v>
      </c>
      <c r="AD96" s="130">
        <f t="shared" si="19"/>
        <v>10620.62</v>
      </c>
      <c r="AE96" s="130">
        <f t="shared" si="19"/>
        <v>7711.72</v>
      </c>
      <c r="AF96" s="130">
        <f t="shared" si="19"/>
        <v>24318.1</v>
      </c>
      <c r="AG96" s="130">
        <f t="shared" si="19"/>
        <v>8183.11</v>
      </c>
    </row>
    <row r="97" spans="2:33" ht="16.5" x14ac:dyDescent="0.25">
      <c r="C97" s="12"/>
      <c r="D97" s="12"/>
      <c r="E97" s="131" t="s">
        <v>105</v>
      </c>
      <c r="F97" s="132">
        <f>+F94+F95+F96</f>
        <v>19176179.929664996</v>
      </c>
      <c r="G97" s="132">
        <f>+G94+G95+G96</f>
        <v>18827522.112762</v>
      </c>
      <c r="H97" s="132">
        <f t="shared" ref="H97:Z97" si="20">+H94+H95+H96</f>
        <v>18827522.112762</v>
      </c>
      <c r="I97" s="132">
        <f t="shared" si="20"/>
        <v>14959587.088349998</v>
      </c>
      <c r="J97" s="132">
        <f t="shared" si="20"/>
        <v>9703515.9491999969</v>
      </c>
      <c r="K97" s="132">
        <f t="shared" si="20"/>
        <v>11644219.139039999</v>
      </c>
      <c r="L97" s="132">
        <f>+L94+L95+L96</f>
        <v>11651155.320544861</v>
      </c>
      <c r="M97" s="132">
        <f>+M94+M95+M96</f>
        <v>7767436.8803632408</v>
      </c>
      <c r="N97" s="132">
        <f t="shared" si="20"/>
        <v>7086930.5284450538</v>
      </c>
      <c r="O97" s="132">
        <f>+O94+O95+O96</f>
        <v>8270785.6370431706</v>
      </c>
      <c r="P97" s="132">
        <f t="shared" si="20"/>
        <v>5513857.0913621131</v>
      </c>
      <c r="Q97" s="132">
        <f t="shared" si="20"/>
        <v>6616628.5096345358</v>
      </c>
      <c r="R97" s="132">
        <f t="shared" si="20"/>
        <v>8038004.4716793112</v>
      </c>
      <c r="S97" s="132">
        <f t="shared" si="20"/>
        <v>6430403.577343449</v>
      </c>
      <c r="T97" s="132">
        <f t="shared" si="20"/>
        <v>8186856.4063400393</v>
      </c>
      <c r="U97" s="132">
        <f t="shared" si="20"/>
        <v>7309262.473554492</v>
      </c>
      <c r="V97" s="132">
        <f t="shared" si="20"/>
        <v>7176366.7922171382</v>
      </c>
      <c r="W97" s="132">
        <f t="shared" si="20"/>
        <v>4784244.5281447582</v>
      </c>
      <c r="X97" s="132">
        <f t="shared" si="20"/>
        <v>4411085.6730896914</v>
      </c>
      <c r="Y97" s="132">
        <f t="shared" si="20"/>
        <v>3675904.7275747424</v>
      </c>
      <c r="Z97" s="132">
        <f t="shared" si="20"/>
        <v>5513857.0913621131</v>
      </c>
      <c r="AA97" s="10"/>
      <c r="AB97" s="133">
        <f>+AB94+AB96</f>
        <v>13360.130000000001</v>
      </c>
      <c r="AC97" s="133">
        <f t="shared" ref="AC97:AG97" si="21">+AC94+AC96</f>
        <v>51925.65</v>
      </c>
      <c r="AD97" s="133">
        <f t="shared" si="21"/>
        <v>66518.62</v>
      </c>
      <c r="AE97" s="133">
        <f t="shared" si="21"/>
        <v>48299.72</v>
      </c>
      <c r="AF97" s="133">
        <f t="shared" si="21"/>
        <v>152308.1</v>
      </c>
      <c r="AG97" s="133">
        <f t="shared" si="21"/>
        <v>51252.11</v>
      </c>
    </row>
    <row r="98" spans="2:33" ht="16.5" x14ac:dyDescent="0.25">
      <c r="C98" s="12"/>
      <c r="D98" s="12"/>
      <c r="E98" s="113"/>
      <c r="F98" s="114"/>
      <c r="G98" s="114"/>
      <c r="H98" s="114"/>
      <c r="I98" s="114"/>
      <c r="J98" s="114"/>
      <c r="K98" s="114"/>
      <c r="L98" s="114"/>
      <c r="M98" s="114"/>
      <c r="N98" s="114"/>
      <c r="O98" s="114"/>
      <c r="P98" s="114"/>
      <c r="Q98" s="114"/>
      <c r="R98" s="114"/>
      <c r="S98" s="114"/>
      <c r="T98" s="114"/>
      <c r="U98" s="114"/>
      <c r="V98" s="114"/>
      <c r="W98" s="114"/>
      <c r="X98" s="114"/>
      <c r="Y98" s="114"/>
      <c r="Z98" s="114"/>
      <c r="AB98" s="115"/>
      <c r="AC98" s="115"/>
      <c r="AD98" s="115"/>
      <c r="AE98" s="115"/>
      <c r="AF98" s="115"/>
      <c r="AG98" s="115"/>
    </row>
    <row r="99" spans="2:33" ht="16.5" x14ac:dyDescent="0.25">
      <c r="C99" s="12"/>
      <c r="D99" s="12"/>
      <c r="E99" s="113"/>
      <c r="F99" s="114"/>
      <c r="G99" s="114"/>
      <c r="H99" s="114"/>
      <c r="I99" s="114"/>
      <c r="J99" s="114"/>
      <c r="K99" s="114"/>
      <c r="L99" s="114"/>
      <c r="M99" s="114"/>
      <c r="N99" s="114"/>
      <c r="O99" s="114"/>
      <c r="P99" s="114"/>
      <c r="Q99" s="114"/>
      <c r="R99" s="114"/>
      <c r="S99" s="114"/>
      <c r="T99" s="114"/>
      <c r="U99" s="114"/>
      <c r="V99" s="114"/>
      <c r="W99" s="114"/>
      <c r="X99" s="114"/>
      <c r="Y99" s="114"/>
      <c r="Z99" s="114"/>
      <c r="AB99" s="115"/>
      <c r="AC99" s="115"/>
      <c r="AD99" s="115"/>
      <c r="AE99" s="115"/>
      <c r="AF99" s="115"/>
      <c r="AG99" s="115"/>
    </row>
    <row r="101" spans="2:33" ht="16.5" x14ac:dyDescent="0.25">
      <c r="C101" s="12"/>
      <c r="D101" s="12"/>
      <c r="E101" s="134" t="s">
        <v>106</v>
      </c>
      <c r="F101" s="135">
        <f>(F88)*(F$94+F$95)</f>
        <v>169367634.31499997</v>
      </c>
      <c r="G101" s="135">
        <f>+(G88)*(G$94+G$95)</f>
        <v>3177952702.0559998</v>
      </c>
      <c r="H101" s="135">
        <f>+H88*(H$94+H$95)</f>
        <v>110858815.18799999</v>
      </c>
      <c r="I101" s="135">
        <f t="shared" ref="I101:Z101" si="22">+I88*(I$94+I$95)</f>
        <v>0</v>
      </c>
      <c r="J101" s="135">
        <f t="shared" si="22"/>
        <v>0</v>
      </c>
      <c r="K101" s="135">
        <f t="shared" si="22"/>
        <v>0</v>
      </c>
      <c r="L101" s="135">
        <f t="shared" si="22"/>
        <v>22867822.022659197</v>
      </c>
      <c r="M101" s="135">
        <f>+M88*(M$94+M$95)</f>
        <v>7622607.3408863991</v>
      </c>
      <c r="N101" s="135">
        <f t="shared" si="22"/>
        <v>0</v>
      </c>
      <c r="O101" s="135">
        <f t="shared" si="22"/>
        <v>0</v>
      </c>
      <c r="P101" s="135">
        <f t="shared" si="22"/>
        <v>32466283.167981043</v>
      </c>
      <c r="Q101" s="135">
        <f t="shared" si="22"/>
        <v>25973026.534384832</v>
      </c>
      <c r="R101" s="135">
        <f t="shared" si="22"/>
        <v>0</v>
      </c>
      <c r="S101" s="135">
        <f t="shared" si="22"/>
        <v>0</v>
      </c>
      <c r="T101" s="135">
        <f t="shared" si="22"/>
        <v>0</v>
      </c>
      <c r="U101" s="135">
        <f t="shared" si="22"/>
        <v>7172975.9308679998</v>
      </c>
      <c r="V101" s="135">
        <f t="shared" si="22"/>
        <v>14085116.3733408</v>
      </c>
      <c r="W101" s="135">
        <f t="shared" si="22"/>
        <v>4695038.7911136001</v>
      </c>
      <c r="X101" s="135">
        <f t="shared" si="22"/>
        <v>4328837.7557308059</v>
      </c>
      <c r="Y101" s="135">
        <f t="shared" si="22"/>
        <v>7214729.5928846756</v>
      </c>
      <c r="Z101" s="135">
        <f t="shared" si="22"/>
        <v>0</v>
      </c>
      <c r="AA101" s="10"/>
      <c r="AB101" s="136">
        <f>+AB88*(AB94+AB95)</f>
        <v>9913441</v>
      </c>
      <c r="AC101" s="136">
        <f>+AC88*(AC94+AC95)</f>
        <v>2574465</v>
      </c>
      <c r="AD101" s="136">
        <f>+AD88*(AD94+AD95)</f>
        <v>3409778</v>
      </c>
      <c r="AE101" s="136">
        <f t="shared" ref="AE101:AG101" si="23">+AE88*(AE94+AE95)</f>
        <v>2394692</v>
      </c>
      <c r="AF101" s="136">
        <f t="shared" si="23"/>
        <v>2047840</v>
      </c>
      <c r="AG101" s="136">
        <f t="shared" si="23"/>
        <v>4048486</v>
      </c>
    </row>
    <row r="102" spans="2:33" s="12" customFormat="1" ht="16.5" x14ac:dyDescent="0.25">
      <c r="E102" s="134" t="s">
        <v>107</v>
      </c>
      <c r="F102" s="135">
        <f>(F$96*F88)</f>
        <v>3217985.0519849993</v>
      </c>
      <c r="G102" s="135">
        <f>(G$96)*(G88)</f>
        <v>60381101.339063995</v>
      </c>
      <c r="H102" s="135">
        <f t="shared" ref="H102:Z102" si="24">(H$96*H88)</f>
        <v>2106317.4885719996</v>
      </c>
      <c r="I102" s="135">
        <f t="shared" si="24"/>
        <v>0</v>
      </c>
      <c r="J102" s="135">
        <f t="shared" si="24"/>
        <v>0</v>
      </c>
      <c r="K102" s="135">
        <f t="shared" si="24"/>
        <v>0</v>
      </c>
      <c r="L102" s="135">
        <f t="shared" si="24"/>
        <v>434488.61843052472</v>
      </c>
      <c r="M102" s="135">
        <f t="shared" si="24"/>
        <v>144829.53947684157</v>
      </c>
      <c r="N102" s="135">
        <f t="shared" si="24"/>
        <v>0</v>
      </c>
      <c r="O102" s="135">
        <f t="shared" si="24"/>
        <v>0</v>
      </c>
      <c r="P102" s="135">
        <f t="shared" si="24"/>
        <v>616859.38019163976</v>
      </c>
      <c r="Q102" s="135">
        <f t="shared" si="24"/>
        <v>493487.50415331178</v>
      </c>
      <c r="R102" s="135">
        <f t="shared" si="24"/>
        <v>0</v>
      </c>
      <c r="S102" s="135">
        <f t="shared" si="24"/>
        <v>0</v>
      </c>
      <c r="T102" s="135">
        <f t="shared" si="24"/>
        <v>0</v>
      </c>
      <c r="U102" s="135">
        <f t="shared" si="24"/>
        <v>136286.542686492</v>
      </c>
      <c r="V102" s="135">
        <f t="shared" si="24"/>
        <v>267617.21109347523</v>
      </c>
      <c r="W102" s="135">
        <f t="shared" si="24"/>
        <v>89205.737031158395</v>
      </c>
      <c r="X102" s="135">
        <f t="shared" si="24"/>
        <v>82247.917358885315</v>
      </c>
      <c r="Y102" s="135">
        <f t="shared" si="24"/>
        <v>137079.86226480882</v>
      </c>
      <c r="Z102" s="135">
        <f t="shared" si="24"/>
        <v>0</v>
      </c>
      <c r="AA102" s="11"/>
      <c r="AB102" s="136">
        <f t="shared" ref="AB102:AG102" si="25">+ROUND(((AB12+AB18+AB33+AB49+AB57+AB86)*AB96),0)</f>
        <v>1883554</v>
      </c>
      <c r="AC102" s="136">
        <f t="shared" si="25"/>
        <v>489148</v>
      </c>
      <c r="AD102" s="136">
        <f t="shared" si="25"/>
        <v>647858</v>
      </c>
      <c r="AE102" s="136">
        <f t="shared" si="25"/>
        <v>454991</v>
      </c>
      <c r="AF102" s="136">
        <f t="shared" si="25"/>
        <v>389090</v>
      </c>
      <c r="AG102" s="136">
        <f t="shared" si="25"/>
        <v>769212</v>
      </c>
    </row>
    <row r="103" spans="2:33" s="12" customFormat="1" ht="16.5" x14ac:dyDescent="0.25">
      <c r="B103" s="46"/>
      <c r="C103" s="46"/>
      <c r="D103" s="46"/>
      <c r="E103" s="137" t="s">
        <v>200</v>
      </c>
      <c r="F103" s="133">
        <f>+F101+F102</f>
        <v>172585619.36698496</v>
      </c>
      <c r="G103" s="133">
        <f>+G101+G102</f>
        <v>3238333803.3950639</v>
      </c>
      <c r="H103" s="133">
        <f t="shared" ref="H103:Y103" si="26">+H101+H102</f>
        <v>112965132.676572</v>
      </c>
      <c r="I103" s="133">
        <f t="shared" si="26"/>
        <v>0</v>
      </c>
      <c r="J103" s="133">
        <f t="shared" si="26"/>
        <v>0</v>
      </c>
      <c r="K103" s="133">
        <f t="shared" si="26"/>
        <v>0</v>
      </c>
      <c r="L103" s="133">
        <f t="shared" si="26"/>
        <v>23302310.641089723</v>
      </c>
      <c r="M103" s="133">
        <f>+M101+M102</f>
        <v>7767436.8803632408</v>
      </c>
      <c r="N103" s="133">
        <f t="shared" si="26"/>
        <v>0</v>
      </c>
      <c r="O103" s="133">
        <f t="shared" si="26"/>
        <v>0</v>
      </c>
      <c r="P103" s="133">
        <f t="shared" si="26"/>
        <v>33083142.548172683</v>
      </c>
      <c r="Q103" s="133">
        <f t="shared" si="26"/>
        <v>26466514.038538143</v>
      </c>
      <c r="R103" s="133">
        <f t="shared" si="26"/>
        <v>0</v>
      </c>
      <c r="S103" s="133">
        <f t="shared" si="26"/>
        <v>0</v>
      </c>
      <c r="T103" s="133">
        <f t="shared" si="26"/>
        <v>0</v>
      </c>
      <c r="U103" s="133">
        <f t="shared" si="26"/>
        <v>7309262.473554492</v>
      </c>
      <c r="V103" s="133">
        <f t="shared" si="26"/>
        <v>14352733.584434276</v>
      </c>
      <c r="W103" s="133">
        <f t="shared" si="26"/>
        <v>4784244.5281447582</v>
      </c>
      <c r="X103" s="133">
        <f t="shared" si="26"/>
        <v>4411085.6730896914</v>
      </c>
      <c r="Y103" s="133">
        <f t="shared" si="26"/>
        <v>7351809.4551494848</v>
      </c>
      <c r="Z103" s="133">
        <f>+Z101+Z102</f>
        <v>0</v>
      </c>
      <c r="AA103" s="11"/>
      <c r="AB103" s="138">
        <f>+AB101+AB102</f>
        <v>11796995</v>
      </c>
      <c r="AC103" s="138">
        <f t="shared" ref="AC103:AG103" si="27">+AC101+AC102</f>
        <v>3063613</v>
      </c>
      <c r="AD103" s="138">
        <f t="shared" si="27"/>
        <v>4057636</v>
      </c>
      <c r="AE103" s="138">
        <f t="shared" si="27"/>
        <v>2849683</v>
      </c>
      <c r="AF103" s="138">
        <f t="shared" si="27"/>
        <v>2436930</v>
      </c>
      <c r="AG103" s="138">
        <f t="shared" si="27"/>
        <v>4817698</v>
      </c>
    </row>
    <row r="104" spans="2:33" x14ac:dyDescent="0.25">
      <c r="D104" s="13"/>
      <c r="E104" s="14"/>
      <c r="F104" s="15"/>
      <c r="G104" s="16"/>
      <c r="H104" s="16"/>
      <c r="I104" s="16"/>
      <c r="J104" s="16"/>
      <c r="K104" s="16"/>
      <c r="L104" s="16"/>
      <c r="M104" s="16"/>
      <c r="O104" s="139"/>
      <c r="W104" s="140"/>
      <c r="Y104" s="71"/>
      <c r="Z104" s="72"/>
      <c r="AA104" s="19"/>
      <c r="AB104" s="71"/>
      <c r="AC104" s="72"/>
    </row>
    <row r="105" spans="2:33" ht="31.5" x14ac:dyDescent="0.25">
      <c r="C105" s="141" t="s">
        <v>108</v>
      </c>
      <c r="D105" s="141" t="s">
        <v>109</v>
      </c>
      <c r="G105" s="142"/>
      <c r="AA105" s="143"/>
    </row>
    <row r="106" spans="2:33" ht="18" customHeight="1" x14ac:dyDescent="0.25">
      <c r="C106" s="63">
        <f>+AA11+AA17+AA32+AA48+AA56+AA85</f>
        <v>3652713095.2611575</v>
      </c>
      <c r="D106" s="63">
        <f>SUM(AB103:AG103)</f>
        <v>29022555</v>
      </c>
      <c r="E106" s="108"/>
      <c r="H106" s="142"/>
      <c r="AA106" s="144"/>
    </row>
    <row r="108" spans="2:33" ht="42.75" customHeight="1" x14ac:dyDescent="0.25">
      <c r="C108" s="145" t="s">
        <v>0</v>
      </c>
      <c r="D108" s="145" t="s">
        <v>202</v>
      </c>
      <c r="E108" s="145" t="s">
        <v>111</v>
      </c>
      <c r="F108" s="145" t="s">
        <v>204</v>
      </c>
      <c r="G108" s="145" t="s">
        <v>112</v>
      </c>
      <c r="H108" s="142">
        <f>+H105*H106</f>
        <v>0</v>
      </c>
      <c r="K108" s="16"/>
      <c r="L108" s="16"/>
      <c r="Y108" s="7"/>
    </row>
    <row r="109" spans="2:33" ht="18.75" customHeight="1" x14ac:dyDescent="0.25">
      <c r="C109" s="59" t="s">
        <v>113</v>
      </c>
      <c r="D109" s="146">
        <f>(AA11/30)*30</f>
        <v>324478961.59004366</v>
      </c>
      <c r="E109" s="146">
        <f>+(((AB12*AB97)+(AC12*AC97)+(AD12*AD97)+(AE12*AE97)+(AF12*AF97)+(AG12*AG97)))/((30))*30</f>
        <v>2617733.4400000004</v>
      </c>
      <c r="F109" s="147">
        <f t="shared" ref="F109:F114" si="28">+E109*0.051</f>
        <v>133504.40544</v>
      </c>
      <c r="G109" s="146">
        <f t="shared" ref="G109:G114" si="29">SUM(D109:F109)</f>
        <v>327230199.43548363</v>
      </c>
      <c r="K109" s="148"/>
      <c r="L109" s="16"/>
      <c r="Y109" s="7"/>
    </row>
    <row r="110" spans="2:33" ht="18.75" customHeight="1" x14ac:dyDescent="0.25">
      <c r="C110" s="59" t="s">
        <v>42</v>
      </c>
      <c r="D110" s="146">
        <f>(AA17/30)*30</f>
        <v>352430686.53907198</v>
      </c>
      <c r="E110" s="146">
        <f>+(((AB18*AB97)+(AC18*AC97)+(AD18*AD97)+(AE18*AE97)+(AF18*AF97)+(AG18*AG97)))/((30))*30</f>
        <v>2321296.1100000003</v>
      </c>
      <c r="F110" s="147">
        <f t="shared" si="28"/>
        <v>118386.10161000001</v>
      </c>
      <c r="G110" s="146">
        <f t="shared" si="29"/>
        <v>354870368.750682</v>
      </c>
      <c r="K110" s="148"/>
      <c r="L110" s="16"/>
      <c r="Y110" s="7"/>
    </row>
    <row r="111" spans="2:33" ht="18.75" customHeight="1" x14ac:dyDescent="0.25">
      <c r="C111" s="59" t="s">
        <v>50</v>
      </c>
      <c r="D111" s="146">
        <f>(AA32/30)*30</f>
        <v>491097676.63053614</v>
      </c>
      <c r="E111" s="146">
        <f>+(((AB33*AB97)+(AC33*AC97)+(AD33*AD97)+(AE33*AE97)+(AF33*AF97)+(AG33*AG97)))/((30))*30</f>
        <v>4207146.2300000004</v>
      </c>
      <c r="F111" s="147">
        <f t="shared" si="28"/>
        <v>214564.45772999999</v>
      </c>
      <c r="G111" s="146">
        <f t="shared" si="29"/>
        <v>495519387.31826615</v>
      </c>
      <c r="K111" s="148"/>
      <c r="L111" s="16"/>
      <c r="Y111" s="7"/>
    </row>
    <row r="112" spans="2:33" ht="18.75" customHeight="1" x14ac:dyDescent="0.25">
      <c r="C112" s="59" t="s">
        <v>114</v>
      </c>
      <c r="D112" s="146">
        <f>(AA48/30)*30</f>
        <v>587248682.22106588</v>
      </c>
      <c r="E112" s="146">
        <f>+(((AB49*AB97)+(AC49*AC97)+(AD49*AD97)+(AE49*AE97)+(AF49*AF97)+(AG49*AG97)))/((30))*30</f>
        <v>3706635.8</v>
      </c>
      <c r="F112" s="147">
        <f t="shared" si="28"/>
        <v>189038.42579999997</v>
      </c>
      <c r="G112" s="146">
        <f t="shared" si="29"/>
        <v>591144356.4468658</v>
      </c>
      <c r="K112" s="148"/>
      <c r="L112" s="16"/>
      <c r="Y112" s="7"/>
    </row>
    <row r="113" spans="3:25" ht="18.75" customHeight="1" x14ac:dyDescent="0.25">
      <c r="C113" s="59" t="s">
        <v>75</v>
      </c>
      <c r="D113" s="146">
        <f>(AA56/30)*30</f>
        <v>600194756.76970828</v>
      </c>
      <c r="E113" s="146">
        <f>+(((AB57*AB97)+(AC57*AC97)+(AD57*AD97)+(AE57*AE97)+(AF57*AF97)+(AG57*AG97)))/((30))*30</f>
        <v>3102263.3600000003</v>
      </c>
      <c r="F113" s="147">
        <f t="shared" si="28"/>
        <v>158215.43136000002</v>
      </c>
      <c r="G113" s="146">
        <f t="shared" si="29"/>
        <v>603455235.5610683</v>
      </c>
      <c r="K113" s="148"/>
      <c r="L113" s="16"/>
      <c r="Y113" s="7"/>
    </row>
    <row r="114" spans="3:25" ht="18.75" customHeight="1" x14ac:dyDescent="0.25">
      <c r="C114" s="59" t="s">
        <v>78</v>
      </c>
      <c r="D114" s="146">
        <f>(AA85/30)*30</f>
        <v>1297262331.5107317</v>
      </c>
      <c r="E114" s="146">
        <f>+(((AB86*AB97)+(AC86*AC97)+(AD86*AD97)+(AE86*AE97)+(AF86*AF97)+(AG86*AG97)))/((30))*30</f>
        <v>13067480.440000001</v>
      </c>
      <c r="F114" s="147">
        <f t="shared" si="28"/>
        <v>666441.50244000007</v>
      </c>
      <c r="G114" s="146">
        <f t="shared" si="29"/>
        <v>1310996253.4531717</v>
      </c>
      <c r="K114" s="148"/>
      <c r="L114" s="16"/>
      <c r="Y114" s="7"/>
    </row>
    <row r="115" spans="3:25" ht="18.75" customHeight="1" x14ac:dyDescent="0.25">
      <c r="C115" s="64" t="s">
        <v>115</v>
      </c>
      <c r="D115" s="150">
        <f>SUM(D109:D114)</f>
        <v>3652713095.2611575</v>
      </c>
      <c r="E115" s="150">
        <f>SUM(E109:E114)</f>
        <v>29022555.380000003</v>
      </c>
      <c r="F115" s="150">
        <f>SUM(F109:F114)</f>
        <v>1480150.3243800001</v>
      </c>
      <c r="G115" s="150">
        <f>SUM(G109:G114)</f>
        <v>3683215800.9655375</v>
      </c>
      <c r="K115" s="16"/>
      <c r="L115" s="16"/>
      <c r="Y115" s="7"/>
    </row>
    <row r="117" spans="3:25" x14ac:dyDescent="0.25">
      <c r="D117" s="151"/>
    </row>
    <row r="118" spans="3:25" x14ac:dyDescent="0.25">
      <c r="D118" s="151"/>
      <c r="G118" s="142"/>
    </row>
    <row r="119" spans="3:25" x14ac:dyDescent="0.25">
      <c r="D119" s="151"/>
      <c r="E119" s="151"/>
      <c r="G119" s="158"/>
      <c r="M119" s="142"/>
      <c r="Y119" s="128">
        <f>+D119+E119</f>
        <v>0</v>
      </c>
    </row>
    <row r="120" spans="3:25" x14ac:dyDescent="0.25">
      <c r="D120" s="152"/>
      <c r="E120" s="152"/>
      <c r="Y120" s="128">
        <f>+D120+E120</f>
        <v>0</v>
      </c>
    </row>
    <row r="121" spans="3:25" x14ac:dyDescent="0.25">
      <c r="D121" s="106"/>
      <c r="E121" s="152"/>
    </row>
    <row r="122" spans="3:25" x14ac:dyDescent="0.25">
      <c r="D122" s="106"/>
      <c r="E122" s="151"/>
      <c r="G122" s="160"/>
    </row>
    <row r="123" spans="3:25" x14ac:dyDescent="0.25">
      <c r="D123" s="151"/>
      <c r="E123" s="151"/>
      <c r="G123" s="160"/>
    </row>
    <row r="124" spans="3:25" x14ac:dyDescent="0.25">
      <c r="D124" s="152"/>
      <c r="E124" s="152"/>
    </row>
    <row r="125" spans="3:25" x14ac:dyDescent="0.25">
      <c r="D125" s="151"/>
      <c r="E125" s="151"/>
    </row>
    <row r="126" spans="3:25" x14ac:dyDescent="0.25">
      <c r="D126" s="151"/>
      <c r="E126" s="151"/>
    </row>
    <row r="127" spans="3:25" x14ac:dyDescent="0.25">
      <c r="D127" s="106"/>
      <c r="E127" s="106"/>
      <c r="Y127" s="128">
        <f>+D127+E127</f>
        <v>0</v>
      </c>
    </row>
  </sheetData>
  <mergeCells count="6">
    <mergeCell ref="B86:E86"/>
    <mergeCell ref="B12:E12"/>
    <mergeCell ref="B18:E18"/>
    <mergeCell ref="B33:E33"/>
    <mergeCell ref="B49:E49"/>
    <mergeCell ref="B57:E57"/>
  </mergeCells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H127"/>
  <sheetViews>
    <sheetView tabSelected="1" topLeftCell="A30" workbookViewId="0"/>
  </sheetViews>
  <sheetFormatPr baseColWidth="10" defaultColWidth="9.140625" defaultRowHeight="12.75" x14ac:dyDescent="0.25"/>
  <cols>
    <col min="1" max="1" width="2.5703125" style="7" customWidth="1"/>
    <col min="2" max="2" width="12.85546875" style="12" customWidth="1"/>
    <col min="3" max="3" width="34" style="8" customWidth="1"/>
    <col min="4" max="4" width="29.85546875" style="8" customWidth="1"/>
    <col min="5" max="5" width="21.85546875" style="8" customWidth="1"/>
    <col min="6" max="6" width="19.42578125" style="128" customWidth="1"/>
    <col min="7" max="7" width="23.140625" style="128" customWidth="1"/>
    <col min="8" max="8" width="17.140625" style="128" customWidth="1"/>
    <col min="9" max="9" width="17.140625" style="128" hidden="1" customWidth="1"/>
    <col min="10" max="10" width="20.42578125" style="128" hidden="1" customWidth="1"/>
    <col min="11" max="11" width="21.42578125" style="128" hidden="1" customWidth="1"/>
    <col min="12" max="12" width="16.7109375" style="128" customWidth="1"/>
    <col min="13" max="13" width="17.42578125" style="128" customWidth="1"/>
    <col min="14" max="14" width="13.7109375" style="128" hidden="1" customWidth="1"/>
    <col min="15" max="15" width="16" style="128" customWidth="1"/>
    <col min="16" max="16" width="19" style="128" customWidth="1"/>
    <col min="17" max="17" width="17.42578125" style="128" customWidth="1"/>
    <col min="18" max="18" width="17.5703125" style="128" hidden="1" customWidth="1"/>
    <col min="19" max="19" width="18" style="128" hidden="1" customWidth="1"/>
    <col min="20" max="20" width="17.28515625" style="128" hidden="1" customWidth="1"/>
    <col min="21" max="21" width="14.7109375" style="128" customWidth="1"/>
    <col min="22" max="22" width="18.42578125" style="128" customWidth="1"/>
    <col min="23" max="23" width="17.140625" style="128" customWidth="1"/>
    <col min="24" max="24" width="18.85546875" style="128" customWidth="1"/>
    <col min="25" max="25" width="18.42578125" style="128" customWidth="1"/>
    <col min="26" max="26" width="16.7109375" style="7" customWidth="1"/>
    <col min="27" max="27" width="26.28515625" style="7" customWidth="1"/>
    <col min="28" max="33" width="15.85546875" style="7" customWidth="1"/>
    <col min="34" max="16384" width="9.140625" style="7"/>
  </cols>
  <sheetData>
    <row r="1" spans="2:33" s="1" customFormat="1" ht="114.75" x14ac:dyDescent="0.25">
      <c r="B1" s="81" t="s">
        <v>0</v>
      </c>
      <c r="C1" s="81" t="s">
        <v>1</v>
      </c>
      <c r="D1" s="81" t="s">
        <v>2</v>
      </c>
      <c r="E1" s="81" t="s">
        <v>3</v>
      </c>
      <c r="F1" s="82" t="s">
        <v>4</v>
      </c>
      <c r="G1" s="82" t="s">
        <v>5</v>
      </c>
      <c r="H1" s="82" t="s">
        <v>6</v>
      </c>
      <c r="I1" s="82" t="s">
        <v>7</v>
      </c>
      <c r="J1" s="82" t="s">
        <v>8</v>
      </c>
      <c r="K1" s="82" t="s">
        <v>9</v>
      </c>
      <c r="L1" s="82" t="s">
        <v>205</v>
      </c>
      <c r="M1" s="82" t="s">
        <v>206</v>
      </c>
      <c r="N1" s="82" t="s">
        <v>12</v>
      </c>
      <c r="O1" s="82" t="s">
        <v>13</v>
      </c>
      <c r="P1" s="82" t="s">
        <v>14</v>
      </c>
      <c r="Q1" s="82" t="s">
        <v>15</v>
      </c>
      <c r="R1" s="82" t="s">
        <v>16</v>
      </c>
      <c r="S1" s="82" t="s">
        <v>17</v>
      </c>
      <c r="T1" s="81" t="s">
        <v>18</v>
      </c>
      <c r="U1" s="82" t="s">
        <v>19</v>
      </c>
      <c r="V1" s="82" t="s">
        <v>20</v>
      </c>
      <c r="W1" s="83" t="s">
        <v>21</v>
      </c>
      <c r="X1" s="82" t="s">
        <v>22</v>
      </c>
      <c r="Y1" s="82" t="s">
        <v>23</v>
      </c>
      <c r="Z1" s="82" t="s">
        <v>24</v>
      </c>
      <c r="AA1" s="84" t="s">
        <v>25</v>
      </c>
      <c r="AB1" s="82" t="s">
        <v>26</v>
      </c>
      <c r="AC1" s="82" t="s">
        <v>27</v>
      </c>
      <c r="AD1" s="82" t="s">
        <v>28</v>
      </c>
      <c r="AE1" s="82" t="s">
        <v>29</v>
      </c>
      <c r="AF1" s="82" t="s">
        <v>30</v>
      </c>
      <c r="AG1" s="82" t="s">
        <v>31</v>
      </c>
    </row>
    <row r="2" spans="2:33" s="2" customFormat="1" x14ac:dyDescent="0.25">
      <c r="B2" s="30" t="s">
        <v>32</v>
      </c>
      <c r="C2" s="27" t="s">
        <v>33</v>
      </c>
      <c r="D2" s="27" t="s">
        <v>151</v>
      </c>
      <c r="E2" s="27" t="s">
        <v>35</v>
      </c>
      <c r="F2" s="28">
        <v>0</v>
      </c>
      <c r="G2" s="31">
        <v>1</v>
      </c>
      <c r="H2" s="28">
        <v>0</v>
      </c>
      <c r="I2" s="28">
        <v>0</v>
      </c>
      <c r="J2" s="28">
        <v>0</v>
      </c>
      <c r="K2" s="28">
        <v>0</v>
      </c>
      <c r="L2" s="28">
        <v>0</v>
      </c>
      <c r="M2" s="28">
        <v>0</v>
      </c>
      <c r="N2" s="28">
        <v>0</v>
      </c>
      <c r="O2" s="28">
        <v>0</v>
      </c>
      <c r="P2" s="28">
        <v>0</v>
      </c>
      <c r="Q2" s="28">
        <v>0</v>
      </c>
      <c r="R2" s="28">
        <v>0</v>
      </c>
      <c r="S2" s="28">
        <v>0</v>
      </c>
      <c r="T2" s="28">
        <v>0</v>
      </c>
      <c r="U2" s="28">
        <v>0</v>
      </c>
      <c r="V2" s="28">
        <v>0</v>
      </c>
      <c r="W2" s="28">
        <v>0</v>
      </c>
      <c r="X2" s="28">
        <v>0</v>
      </c>
      <c r="Y2" s="28">
        <v>0</v>
      </c>
      <c r="Z2" s="28">
        <v>0</v>
      </c>
      <c r="AB2" s="35">
        <v>19</v>
      </c>
      <c r="AC2" s="35">
        <v>2</v>
      </c>
      <c r="AD2" s="35">
        <v>1</v>
      </c>
      <c r="AE2" s="35">
        <v>1</v>
      </c>
      <c r="AF2" s="35">
        <v>1</v>
      </c>
      <c r="AG2" s="35">
        <v>2</v>
      </c>
    </row>
    <row r="3" spans="2:33" s="2" customFormat="1" ht="25.5" x14ac:dyDescent="0.25">
      <c r="B3" s="29" t="s">
        <v>32</v>
      </c>
      <c r="C3" s="27" t="s">
        <v>34</v>
      </c>
      <c r="D3" s="27" t="s">
        <v>151</v>
      </c>
      <c r="E3" s="27" t="s">
        <v>35</v>
      </c>
      <c r="F3" s="28">
        <v>0</v>
      </c>
      <c r="G3" s="31">
        <v>3</v>
      </c>
      <c r="H3" s="28">
        <v>0</v>
      </c>
      <c r="I3" s="28">
        <v>0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0</v>
      </c>
      <c r="R3" s="28">
        <v>0</v>
      </c>
      <c r="S3" s="28">
        <v>0</v>
      </c>
      <c r="T3" s="28">
        <v>0</v>
      </c>
      <c r="U3" s="28">
        <v>0</v>
      </c>
      <c r="V3" s="28">
        <v>0</v>
      </c>
      <c r="W3" s="28">
        <v>0</v>
      </c>
      <c r="X3" s="28">
        <v>0</v>
      </c>
      <c r="Y3" s="28">
        <v>0</v>
      </c>
      <c r="Z3" s="28">
        <v>0</v>
      </c>
      <c r="AB3" s="32">
        <v>0</v>
      </c>
      <c r="AC3" s="32">
        <v>0</v>
      </c>
      <c r="AD3" s="32">
        <v>0</v>
      </c>
      <c r="AE3" s="32">
        <v>0</v>
      </c>
      <c r="AF3" s="32">
        <v>0</v>
      </c>
      <c r="AG3" s="32">
        <v>0</v>
      </c>
    </row>
    <row r="4" spans="2:33" s="2" customFormat="1" ht="25.5" x14ac:dyDescent="0.25">
      <c r="B4" s="29" t="s">
        <v>32</v>
      </c>
      <c r="C4" s="27" t="s">
        <v>34</v>
      </c>
      <c r="D4" s="27" t="s">
        <v>150</v>
      </c>
      <c r="E4" s="27" t="s">
        <v>35</v>
      </c>
      <c r="F4" s="28">
        <v>0</v>
      </c>
      <c r="G4" s="31">
        <v>2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  <c r="S4" s="28">
        <v>0</v>
      </c>
      <c r="T4" s="28">
        <v>0</v>
      </c>
      <c r="U4" s="28">
        <v>0</v>
      </c>
      <c r="V4" s="28">
        <v>0</v>
      </c>
      <c r="W4" s="28">
        <v>0</v>
      </c>
      <c r="X4" s="28">
        <v>0</v>
      </c>
      <c r="Y4" s="28">
        <v>0</v>
      </c>
      <c r="Z4" s="28">
        <v>0</v>
      </c>
      <c r="AB4" s="32">
        <v>15</v>
      </c>
      <c r="AC4" s="32">
        <v>0</v>
      </c>
      <c r="AD4" s="35">
        <v>1</v>
      </c>
      <c r="AE4" s="35">
        <v>1</v>
      </c>
      <c r="AF4" s="32">
        <v>0</v>
      </c>
      <c r="AG4" s="35">
        <v>1</v>
      </c>
    </row>
    <row r="5" spans="2:33" s="2" customFormat="1" ht="38.25" x14ac:dyDescent="0.25">
      <c r="B5" s="29" t="s">
        <v>32</v>
      </c>
      <c r="C5" s="27" t="s">
        <v>34</v>
      </c>
      <c r="D5" s="27" t="s">
        <v>178</v>
      </c>
      <c r="E5" s="27" t="s">
        <v>35</v>
      </c>
      <c r="F5" s="28">
        <v>0</v>
      </c>
      <c r="G5" s="31">
        <v>1</v>
      </c>
      <c r="H5" s="28">
        <v>0</v>
      </c>
      <c r="I5" s="28">
        <v>0</v>
      </c>
      <c r="J5" s="28">
        <v>0</v>
      </c>
      <c r="K5" s="28">
        <v>0</v>
      </c>
      <c r="L5" s="28">
        <v>0</v>
      </c>
      <c r="M5" s="28">
        <v>0</v>
      </c>
      <c r="N5" s="28">
        <v>0</v>
      </c>
      <c r="O5" s="28">
        <v>0</v>
      </c>
      <c r="P5" s="28">
        <v>0</v>
      </c>
      <c r="Q5" s="28">
        <v>0</v>
      </c>
      <c r="R5" s="28">
        <v>0</v>
      </c>
      <c r="S5" s="28">
        <v>0</v>
      </c>
      <c r="T5" s="28">
        <v>0</v>
      </c>
      <c r="U5" s="28">
        <v>0</v>
      </c>
      <c r="V5" s="28">
        <v>0</v>
      </c>
      <c r="W5" s="28">
        <v>0</v>
      </c>
      <c r="X5" s="28">
        <v>0</v>
      </c>
      <c r="Y5" s="28">
        <v>0</v>
      </c>
      <c r="Z5" s="28">
        <v>0</v>
      </c>
      <c r="AB5" s="32">
        <v>7</v>
      </c>
      <c r="AC5" s="32">
        <v>0</v>
      </c>
      <c r="AD5" s="35">
        <v>1</v>
      </c>
      <c r="AE5" s="35">
        <v>1</v>
      </c>
      <c r="AF5" s="32">
        <v>0</v>
      </c>
      <c r="AG5" s="35">
        <v>1</v>
      </c>
    </row>
    <row r="6" spans="2:33" s="2" customFormat="1" ht="38.25" x14ac:dyDescent="0.25">
      <c r="B6" s="29" t="s">
        <v>32</v>
      </c>
      <c r="C6" s="27" t="s">
        <v>34</v>
      </c>
      <c r="D6" s="27" t="s">
        <v>144</v>
      </c>
      <c r="E6" s="27" t="s">
        <v>36</v>
      </c>
      <c r="F6" s="28">
        <v>0</v>
      </c>
      <c r="G6" s="31">
        <v>2</v>
      </c>
      <c r="H6" s="28">
        <v>0</v>
      </c>
      <c r="I6" s="28">
        <v>0</v>
      </c>
      <c r="J6" s="28">
        <v>0</v>
      </c>
      <c r="K6" s="28">
        <v>0</v>
      </c>
      <c r="L6" s="28">
        <v>0</v>
      </c>
      <c r="M6" s="28">
        <v>0</v>
      </c>
      <c r="N6" s="28">
        <v>0</v>
      </c>
      <c r="O6" s="28">
        <v>0</v>
      </c>
      <c r="P6" s="28">
        <v>0</v>
      </c>
      <c r="Q6" s="28">
        <v>0</v>
      </c>
      <c r="R6" s="28">
        <v>0</v>
      </c>
      <c r="S6" s="28">
        <v>0</v>
      </c>
      <c r="T6" s="28">
        <v>0</v>
      </c>
      <c r="U6" s="28">
        <v>0</v>
      </c>
      <c r="V6" s="28">
        <v>0</v>
      </c>
      <c r="W6" s="28">
        <v>0</v>
      </c>
      <c r="X6" s="31">
        <v>1</v>
      </c>
      <c r="Y6" s="28">
        <v>0</v>
      </c>
      <c r="Z6" s="28">
        <v>0</v>
      </c>
      <c r="AB6" s="32">
        <v>11</v>
      </c>
      <c r="AC6" s="32">
        <v>0</v>
      </c>
      <c r="AD6" s="35">
        <v>1</v>
      </c>
      <c r="AE6" s="35">
        <v>1</v>
      </c>
      <c r="AF6" s="32">
        <v>0</v>
      </c>
      <c r="AG6" s="35">
        <v>1</v>
      </c>
    </row>
    <row r="7" spans="2:33" s="2" customFormat="1" ht="25.5" x14ac:dyDescent="0.25">
      <c r="B7" s="29" t="s">
        <v>32</v>
      </c>
      <c r="C7" s="27" t="s">
        <v>34</v>
      </c>
      <c r="D7" s="27" t="s">
        <v>145</v>
      </c>
      <c r="E7" s="27" t="s">
        <v>36</v>
      </c>
      <c r="F7" s="28">
        <v>0</v>
      </c>
      <c r="G7" s="31">
        <v>1</v>
      </c>
      <c r="H7" s="28">
        <v>0</v>
      </c>
      <c r="I7" s="28"/>
      <c r="J7" s="28"/>
      <c r="K7" s="28"/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B7" s="32">
        <v>0</v>
      </c>
      <c r="AC7" s="32">
        <v>0</v>
      </c>
      <c r="AD7" s="32">
        <v>0</v>
      </c>
      <c r="AE7" s="32">
        <v>0</v>
      </c>
      <c r="AF7" s="32">
        <v>0</v>
      </c>
      <c r="AG7" s="32">
        <v>0</v>
      </c>
    </row>
    <row r="8" spans="2:33" s="2" customFormat="1" ht="25.5" x14ac:dyDescent="0.25">
      <c r="B8" s="29" t="s">
        <v>32</v>
      </c>
      <c r="C8" s="27" t="s">
        <v>34</v>
      </c>
      <c r="D8" s="27" t="s">
        <v>179</v>
      </c>
      <c r="E8" s="27" t="s">
        <v>37</v>
      </c>
      <c r="F8" s="28">
        <v>0</v>
      </c>
      <c r="G8" s="31">
        <v>2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0</v>
      </c>
      <c r="W8" s="28">
        <v>0</v>
      </c>
      <c r="X8" s="28">
        <v>0</v>
      </c>
      <c r="Y8" s="28">
        <v>0</v>
      </c>
      <c r="Z8" s="28">
        <v>0</v>
      </c>
      <c r="AB8" s="35">
        <v>16</v>
      </c>
      <c r="AC8" s="32">
        <v>0</v>
      </c>
      <c r="AD8" s="35">
        <v>1</v>
      </c>
      <c r="AE8" s="35">
        <v>1</v>
      </c>
      <c r="AF8" s="32">
        <v>0</v>
      </c>
      <c r="AG8" s="35">
        <v>3</v>
      </c>
    </row>
    <row r="9" spans="2:33" s="2" customFormat="1" ht="25.5" x14ac:dyDescent="0.25">
      <c r="B9" s="29" t="s">
        <v>32</v>
      </c>
      <c r="C9" s="27" t="s">
        <v>34</v>
      </c>
      <c r="D9" s="27" t="s">
        <v>38</v>
      </c>
      <c r="E9" s="27" t="s">
        <v>37</v>
      </c>
      <c r="F9" s="28">
        <v>0</v>
      </c>
      <c r="G9" s="31">
        <v>2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58">
        <f>(AA11/30)*14</f>
        <v>151423515.40868703</v>
      </c>
      <c r="AB9" s="32">
        <v>0</v>
      </c>
      <c r="AC9" s="32">
        <v>0</v>
      </c>
      <c r="AD9" s="32">
        <v>0</v>
      </c>
      <c r="AE9" s="32">
        <v>0</v>
      </c>
      <c r="AF9" s="32">
        <v>0</v>
      </c>
      <c r="AG9" s="32">
        <v>0</v>
      </c>
    </row>
    <row r="10" spans="2:33" s="2" customFormat="1" ht="25.5" x14ac:dyDescent="0.25">
      <c r="B10" s="29" t="s">
        <v>32</v>
      </c>
      <c r="C10" s="27" t="s">
        <v>34</v>
      </c>
      <c r="D10" s="27" t="s">
        <v>39</v>
      </c>
      <c r="E10" s="27" t="s">
        <v>40</v>
      </c>
      <c r="F10" s="28">
        <v>0</v>
      </c>
      <c r="G10" s="31">
        <v>1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B10" s="32">
        <v>0</v>
      </c>
      <c r="AC10" s="32">
        <v>0</v>
      </c>
      <c r="AD10" s="32">
        <v>0</v>
      </c>
      <c r="AE10" s="32">
        <v>0</v>
      </c>
      <c r="AF10" s="32">
        <v>0</v>
      </c>
      <c r="AG10" s="32">
        <v>0</v>
      </c>
    </row>
    <row r="11" spans="2:33" s="2" customFormat="1" ht="25.5" x14ac:dyDescent="0.25">
      <c r="B11" s="29" t="s">
        <v>32</v>
      </c>
      <c r="C11" s="27" t="s">
        <v>34</v>
      </c>
      <c r="D11" s="27" t="s">
        <v>180</v>
      </c>
      <c r="E11" s="27" t="s">
        <v>40</v>
      </c>
      <c r="F11" s="28">
        <v>0</v>
      </c>
      <c r="G11" s="31">
        <v>2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58">
        <f>+(G12*G97)+(X12*X97)</f>
        <v>324478961.59004366</v>
      </c>
      <c r="AB11" s="35">
        <v>15</v>
      </c>
      <c r="AC11" s="32">
        <v>0</v>
      </c>
      <c r="AD11" s="35">
        <v>1</v>
      </c>
      <c r="AE11" s="35">
        <v>1</v>
      </c>
      <c r="AF11" s="32">
        <v>0</v>
      </c>
      <c r="AG11" s="35">
        <v>3</v>
      </c>
    </row>
    <row r="12" spans="2:33" s="53" customFormat="1" ht="22.5" x14ac:dyDescent="0.25">
      <c r="B12" s="164" t="s">
        <v>41</v>
      </c>
      <c r="C12" s="164"/>
      <c r="D12" s="164"/>
      <c r="E12" s="164"/>
      <c r="F12" s="98">
        <f t="shared" ref="F12:Z12" si="0">SUM(F2:F11)</f>
        <v>0</v>
      </c>
      <c r="G12" s="98">
        <f t="shared" si="0"/>
        <v>17</v>
      </c>
      <c r="H12" s="98">
        <f t="shared" si="0"/>
        <v>0</v>
      </c>
      <c r="I12" s="98">
        <f t="shared" si="0"/>
        <v>0</v>
      </c>
      <c r="J12" s="98">
        <f t="shared" si="0"/>
        <v>0</v>
      </c>
      <c r="K12" s="98">
        <f t="shared" si="0"/>
        <v>0</v>
      </c>
      <c r="L12" s="98">
        <f t="shared" si="0"/>
        <v>0</v>
      </c>
      <c r="M12" s="98">
        <f t="shared" si="0"/>
        <v>0</v>
      </c>
      <c r="N12" s="98">
        <f t="shared" si="0"/>
        <v>0</v>
      </c>
      <c r="O12" s="98">
        <f t="shared" si="0"/>
        <v>0</v>
      </c>
      <c r="P12" s="98">
        <f t="shared" si="0"/>
        <v>0</v>
      </c>
      <c r="Q12" s="98">
        <f t="shared" si="0"/>
        <v>0</v>
      </c>
      <c r="R12" s="98">
        <f t="shared" si="0"/>
        <v>0</v>
      </c>
      <c r="S12" s="98">
        <f t="shared" si="0"/>
        <v>0</v>
      </c>
      <c r="T12" s="98">
        <f t="shared" si="0"/>
        <v>0</v>
      </c>
      <c r="U12" s="98">
        <f t="shared" si="0"/>
        <v>0</v>
      </c>
      <c r="V12" s="98">
        <f t="shared" si="0"/>
        <v>0</v>
      </c>
      <c r="W12" s="98">
        <f t="shared" si="0"/>
        <v>0</v>
      </c>
      <c r="X12" s="98">
        <f t="shared" si="0"/>
        <v>1</v>
      </c>
      <c r="Y12" s="98">
        <f t="shared" si="0"/>
        <v>0</v>
      </c>
      <c r="Z12" s="98">
        <f t="shared" si="0"/>
        <v>0</v>
      </c>
      <c r="AA12" s="121">
        <f>SUM(F12:Z12)</f>
        <v>18</v>
      </c>
      <c r="AB12" s="122">
        <f t="shared" ref="AB12:AG12" si="1">SUM(AB2:AB11)</f>
        <v>83</v>
      </c>
      <c r="AC12" s="122">
        <f t="shared" si="1"/>
        <v>2</v>
      </c>
      <c r="AD12" s="122">
        <f t="shared" si="1"/>
        <v>6</v>
      </c>
      <c r="AE12" s="122">
        <f t="shared" si="1"/>
        <v>6</v>
      </c>
      <c r="AF12" s="122">
        <f t="shared" si="1"/>
        <v>1</v>
      </c>
      <c r="AG12" s="122">
        <f t="shared" si="1"/>
        <v>11</v>
      </c>
    </row>
    <row r="13" spans="2:33" s="2" customFormat="1" ht="30" customHeight="1" x14ac:dyDescent="0.25">
      <c r="B13" s="30" t="s">
        <v>42</v>
      </c>
      <c r="C13" s="27" t="s">
        <v>43</v>
      </c>
      <c r="D13" s="27" t="s">
        <v>181</v>
      </c>
      <c r="E13" s="27" t="s">
        <v>45</v>
      </c>
      <c r="F13" s="28">
        <v>0</v>
      </c>
      <c r="G13" s="31">
        <v>1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32">
        <v>0</v>
      </c>
    </row>
    <row r="14" spans="2:33" s="2" customFormat="1" ht="25.5" x14ac:dyDescent="0.25">
      <c r="B14" s="29" t="s">
        <v>42</v>
      </c>
      <c r="C14" s="27" t="s">
        <v>44</v>
      </c>
      <c r="D14" s="27" t="s">
        <v>181</v>
      </c>
      <c r="E14" s="27" t="s">
        <v>45</v>
      </c>
      <c r="F14" s="31">
        <v>1</v>
      </c>
      <c r="G14" s="31">
        <v>3</v>
      </c>
      <c r="H14" s="31">
        <v>1</v>
      </c>
      <c r="I14" s="28">
        <v>0</v>
      </c>
      <c r="J14" s="28">
        <v>0</v>
      </c>
      <c r="K14" s="28">
        <v>0</v>
      </c>
      <c r="L14" s="28">
        <v>0</v>
      </c>
      <c r="M14" s="31">
        <v>1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31">
        <v>1</v>
      </c>
      <c r="Z14" s="28">
        <v>0</v>
      </c>
      <c r="AB14" s="35">
        <v>58</v>
      </c>
      <c r="AC14" s="35">
        <v>2</v>
      </c>
      <c r="AD14" s="35">
        <v>2</v>
      </c>
      <c r="AE14" s="35">
        <v>2</v>
      </c>
      <c r="AF14" s="35">
        <v>1</v>
      </c>
      <c r="AG14" s="35">
        <v>5</v>
      </c>
    </row>
    <row r="15" spans="2:33" s="2" customFormat="1" ht="38.25" x14ac:dyDescent="0.25">
      <c r="B15" s="29" t="s">
        <v>42</v>
      </c>
      <c r="C15" s="27" t="s">
        <v>46</v>
      </c>
      <c r="D15" s="27" t="s">
        <v>181</v>
      </c>
      <c r="E15" s="27" t="s">
        <v>45</v>
      </c>
      <c r="F15" s="31"/>
      <c r="G15" s="31"/>
      <c r="H15" s="31"/>
      <c r="I15" s="28"/>
      <c r="J15" s="28"/>
      <c r="K15" s="28"/>
      <c r="L15" s="28"/>
      <c r="M15" s="28"/>
      <c r="N15" s="28"/>
      <c r="O15" s="28"/>
      <c r="P15" s="31"/>
      <c r="Q15" s="28"/>
      <c r="R15" s="28"/>
      <c r="S15" s="28"/>
      <c r="T15" s="28"/>
      <c r="U15" s="28"/>
      <c r="V15" s="28"/>
      <c r="W15" s="28"/>
      <c r="X15" s="28"/>
      <c r="Y15" s="28"/>
      <c r="Z15" s="28"/>
      <c r="AB15" s="35"/>
      <c r="AC15" s="32"/>
      <c r="AD15" s="32"/>
      <c r="AE15" s="32"/>
      <c r="AF15" s="32"/>
      <c r="AG15" s="32"/>
    </row>
    <row r="16" spans="2:33" s="2" customFormat="1" ht="25.5" x14ac:dyDescent="0.25">
      <c r="B16" s="29" t="s">
        <v>42</v>
      </c>
      <c r="C16" s="27" t="s">
        <v>44</v>
      </c>
      <c r="D16" s="27" t="s">
        <v>152</v>
      </c>
      <c r="E16" s="27" t="s">
        <v>47</v>
      </c>
      <c r="F16" s="31">
        <v>3</v>
      </c>
      <c r="G16" s="31">
        <v>4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58">
        <f>(AA17/30)*14</f>
        <v>164467653.71823359</v>
      </c>
      <c r="AB16" s="35">
        <v>10</v>
      </c>
      <c r="AC16" s="32">
        <v>0</v>
      </c>
      <c r="AD16" s="35">
        <v>1</v>
      </c>
      <c r="AE16" s="35">
        <v>1</v>
      </c>
      <c r="AF16" s="32">
        <v>0</v>
      </c>
      <c r="AG16" s="35">
        <v>3</v>
      </c>
    </row>
    <row r="17" spans="2:34" s="2" customFormat="1" ht="48" customHeight="1" x14ac:dyDescent="0.25">
      <c r="B17" s="29" t="s">
        <v>42</v>
      </c>
      <c r="C17" s="27" t="s">
        <v>44</v>
      </c>
      <c r="D17" s="27" t="s">
        <v>146</v>
      </c>
      <c r="E17" s="27" t="s">
        <v>48</v>
      </c>
      <c r="F17" s="31">
        <v>2</v>
      </c>
      <c r="G17" s="31">
        <v>3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58">
        <f>+(F18*F97)+(G18*G97)+(H18*H97)+(M18*M97)+(P18*P97)+(Y18*Y97)</f>
        <v>352430686.53907198</v>
      </c>
      <c r="AB17" s="35">
        <v>10</v>
      </c>
      <c r="AC17" s="32">
        <v>0</v>
      </c>
      <c r="AD17" s="35">
        <v>1</v>
      </c>
      <c r="AE17" s="35">
        <v>1</v>
      </c>
      <c r="AF17" s="32">
        <v>0</v>
      </c>
      <c r="AG17" s="35">
        <v>3</v>
      </c>
    </row>
    <row r="18" spans="2:34" s="53" customFormat="1" ht="19.5" customHeight="1" x14ac:dyDescent="0.25">
      <c r="B18" s="164" t="s">
        <v>49</v>
      </c>
      <c r="C18" s="164"/>
      <c r="D18" s="164"/>
      <c r="E18" s="164"/>
      <c r="F18" s="98">
        <f t="shared" ref="F18:Z18" si="2">SUM(F13:F17)</f>
        <v>6</v>
      </c>
      <c r="G18" s="98">
        <f t="shared" si="2"/>
        <v>11</v>
      </c>
      <c r="H18" s="98">
        <f t="shared" si="2"/>
        <v>1</v>
      </c>
      <c r="I18" s="98">
        <f t="shared" si="2"/>
        <v>0</v>
      </c>
      <c r="J18" s="98">
        <f t="shared" si="2"/>
        <v>0</v>
      </c>
      <c r="K18" s="98">
        <f t="shared" si="2"/>
        <v>0</v>
      </c>
      <c r="L18" s="98">
        <f t="shared" si="2"/>
        <v>0</v>
      </c>
      <c r="M18" s="98">
        <f t="shared" si="2"/>
        <v>1</v>
      </c>
      <c r="N18" s="98">
        <f t="shared" si="2"/>
        <v>0</v>
      </c>
      <c r="O18" s="98">
        <f t="shared" si="2"/>
        <v>0</v>
      </c>
      <c r="P18" s="98">
        <f t="shared" si="2"/>
        <v>0</v>
      </c>
      <c r="Q18" s="98">
        <f t="shared" si="2"/>
        <v>0</v>
      </c>
      <c r="R18" s="98">
        <f t="shared" si="2"/>
        <v>0</v>
      </c>
      <c r="S18" s="98">
        <f t="shared" si="2"/>
        <v>0</v>
      </c>
      <c r="T18" s="98">
        <f t="shared" si="2"/>
        <v>0</v>
      </c>
      <c r="U18" s="98">
        <f t="shared" si="2"/>
        <v>0</v>
      </c>
      <c r="V18" s="98">
        <f t="shared" si="2"/>
        <v>0</v>
      </c>
      <c r="W18" s="98">
        <f t="shared" si="2"/>
        <v>0</v>
      </c>
      <c r="X18" s="98">
        <f t="shared" si="2"/>
        <v>0</v>
      </c>
      <c r="Y18" s="98">
        <f t="shared" si="2"/>
        <v>1</v>
      </c>
      <c r="Z18" s="98">
        <f t="shared" si="2"/>
        <v>0</v>
      </c>
      <c r="AA18" s="121">
        <f>SUM(F18:Z18)</f>
        <v>20</v>
      </c>
      <c r="AB18" s="122">
        <f>SUM(AB13:AB17)</f>
        <v>78</v>
      </c>
      <c r="AC18" s="122">
        <f t="shared" ref="AC18:AG18" si="3">SUM(AC13:AC17)</f>
        <v>2</v>
      </c>
      <c r="AD18" s="122">
        <f t="shared" si="3"/>
        <v>4</v>
      </c>
      <c r="AE18" s="122">
        <f t="shared" si="3"/>
        <v>4</v>
      </c>
      <c r="AF18" s="122">
        <f t="shared" si="3"/>
        <v>1</v>
      </c>
      <c r="AG18" s="122">
        <f t="shared" si="3"/>
        <v>11</v>
      </c>
    </row>
    <row r="19" spans="2:34" s="2" customFormat="1" ht="43.5" customHeight="1" x14ac:dyDescent="0.25">
      <c r="B19" s="30" t="s">
        <v>50</v>
      </c>
      <c r="C19" s="27" t="s">
        <v>33</v>
      </c>
      <c r="D19" s="27" t="s">
        <v>182</v>
      </c>
      <c r="E19" s="27" t="s">
        <v>52</v>
      </c>
      <c r="F19" s="28">
        <v>0</v>
      </c>
      <c r="G19" s="31">
        <v>1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B19" s="32">
        <v>0</v>
      </c>
      <c r="AC19" s="32">
        <v>0</v>
      </c>
      <c r="AD19" s="32">
        <v>0</v>
      </c>
      <c r="AE19" s="32">
        <v>0</v>
      </c>
      <c r="AF19" s="32">
        <v>0</v>
      </c>
      <c r="AG19" s="32">
        <v>0</v>
      </c>
    </row>
    <row r="20" spans="2:34" s="2" customFormat="1" ht="48" customHeight="1" x14ac:dyDescent="0.25">
      <c r="B20" s="29" t="s">
        <v>50</v>
      </c>
      <c r="C20" s="27" t="s">
        <v>195</v>
      </c>
      <c r="D20" s="27" t="s">
        <v>182</v>
      </c>
      <c r="E20" s="27" t="s">
        <v>52</v>
      </c>
      <c r="F20" s="28">
        <v>0</v>
      </c>
      <c r="G20" s="31">
        <v>4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31">
        <v>1</v>
      </c>
      <c r="R20" s="28">
        <v>0</v>
      </c>
      <c r="S20" s="28">
        <v>0</v>
      </c>
      <c r="T20" s="28">
        <v>0</v>
      </c>
      <c r="U20" s="28">
        <v>0</v>
      </c>
      <c r="V20" s="31">
        <v>1</v>
      </c>
      <c r="W20" s="28">
        <v>0</v>
      </c>
      <c r="X20" s="28">
        <v>0</v>
      </c>
      <c r="Y20" s="28">
        <v>0</v>
      </c>
      <c r="Z20" s="28">
        <v>0</v>
      </c>
      <c r="AB20" s="35">
        <v>18</v>
      </c>
      <c r="AC20" s="32">
        <v>0</v>
      </c>
      <c r="AD20" s="35">
        <v>2</v>
      </c>
      <c r="AE20" s="35">
        <v>2</v>
      </c>
      <c r="AF20" s="35">
        <v>1</v>
      </c>
      <c r="AG20" s="32">
        <v>0</v>
      </c>
    </row>
    <row r="21" spans="2:34" s="2" customFormat="1" ht="48" customHeight="1" x14ac:dyDescent="0.25">
      <c r="B21" s="29" t="s">
        <v>50</v>
      </c>
      <c r="C21" s="27" t="s">
        <v>195</v>
      </c>
      <c r="D21" s="27" t="s">
        <v>183</v>
      </c>
      <c r="E21" s="27" t="s">
        <v>121</v>
      </c>
      <c r="F21" s="28">
        <v>0</v>
      </c>
      <c r="G21" s="31">
        <v>1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B21" s="35">
        <v>8</v>
      </c>
      <c r="AC21" s="32">
        <v>0</v>
      </c>
      <c r="AD21" s="35">
        <v>1</v>
      </c>
      <c r="AE21" s="35">
        <v>1</v>
      </c>
      <c r="AF21" s="35">
        <v>1</v>
      </c>
      <c r="AG21" s="35">
        <v>1</v>
      </c>
    </row>
    <row r="22" spans="2:34" s="2" customFormat="1" ht="48" customHeight="1" x14ac:dyDescent="0.25">
      <c r="B22" s="29" t="s">
        <v>50</v>
      </c>
      <c r="C22" s="27" t="s">
        <v>195</v>
      </c>
      <c r="D22" s="27" t="s">
        <v>153</v>
      </c>
      <c r="E22" s="27" t="s">
        <v>123</v>
      </c>
      <c r="F22" s="28">
        <v>0</v>
      </c>
      <c r="G22" s="31">
        <v>1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B22" s="35">
        <v>8</v>
      </c>
      <c r="AC22" s="32">
        <v>0</v>
      </c>
      <c r="AD22" s="35">
        <v>1</v>
      </c>
      <c r="AE22" s="35">
        <v>1</v>
      </c>
      <c r="AF22" s="35">
        <v>1</v>
      </c>
      <c r="AG22" s="35">
        <v>1</v>
      </c>
    </row>
    <row r="23" spans="2:34" s="2" customFormat="1" ht="43.5" customHeight="1" x14ac:dyDescent="0.25">
      <c r="B23" s="30" t="s">
        <v>50</v>
      </c>
      <c r="C23" s="27" t="s">
        <v>51</v>
      </c>
      <c r="D23" s="27" t="s">
        <v>53</v>
      </c>
      <c r="E23" s="27" t="s">
        <v>52</v>
      </c>
      <c r="F23" s="28">
        <v>0</v>
      </c>
      <c r="G23" s="31">
        <v>3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/>
      <c r="N23" s="28">
        <v>0</v>
      </c>
      <c r="O23" s="28">
        <v>0</v>
      </c>
      <c r="P23" s="28">
        <v>0</v>
      </c>
      <c r="Q23" s="31">
        <v>1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B23" s="35">
        <v>22</v>
      </c>
      <c r="AC23" s="32">
        <v>0</v>
      </c>
      <c r="AD23" s="35">
        <v>2</v>
      </c>
      <c r="AE23" s="35">
        <v>2</v>
      </c>
      <c r="AF23" s="35">
        <v>1</v>
      </c>
      <c r="AG23" s="32">
        <v>0</v>
      </c>
    </row>
    <row r="24" spans="2:34" s="2" customFormat="1" ht="48" customHeight="1" x14ac:dyDescent="0.25">
      <c r="B24" s="29" t="s">
        <v>50</v>
      </c>
      <c r="C24" s="27" t="s">
        <v>54</v>
      </c>
      <c r="D24" s="27" t="s">
        <v>154</v>
      </c>
      <c r="E24" s="27" t="s">
        <v>121</v>
      </c>
      <c r="F24" s="28">
        <v>0</v>
      </c>
      <c r="G24" s="31">
        <v>3</v>
      </c>
      <c r="H24" s="28">
        <v>0</v>
      </c>
      <c r="I24" s="28">
        <v>0</v>
      </c>
      <c r="J24" s="28">
        <v>0</v>
      </c>
      <c r="K24" s="28">
        <v>0</v>
      </c>
      <c r="L24" s="31">
        <v>1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B24" s="35">
        <v>12</v>
      </c>
      <c r="AC24" s="32">
        <v>0</v>
      </c>
      <c r="AD24" s="35">
        <v>1</v>
      </c>
      <c r="AE24" s="35">
        <v>1</v>
      </c>
      <c r="AF24" s="32">
        <v>0</v>
      </c>
      <c r="AG24" s="32">
        <v>0</v>
      </c>
    </row>
    <row r="25" spans="2:34" s="2" customFormat="1" ht="48" customHeight="1" x14ac:dyDescent="0.25">
      <c r="B25" s="29" t="s">
        <v>50</v>
      </c>
      <c r="C25" s="27" t="s">
        <v>54</v>
      </c>
      <c r="D25" s="27" t="s">
        <v>147</v>
      </c>
      <c r="E25" s="27" t="s">
        <v>121</v>
      </c>
      <c r="F25" s="28">
        <v>0</v>
      </c>
      <c r="G25" s="31">
        <v>2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31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31">
        <v>1</v>
      </c>
      <c r="W25" s="28">
        <v>0</v>
      </c>
      <c r="X25" s="28">
        <v>0</v>
      </c>
      <c r="Y25" s="28">
        <v>0</v>
      </c>
      <c r="Z25" s="28">
        <v>0</v>
      </c>
      <c r="AB25" s="32">
        <v>0</v>
      </c>
      <c r="AC25" s="32">
        <v>0</v>
      </c>
      <c r="AD25" s="32">
        <v>0</v>
      </c>
      <c r="AE25" s="32">
        <v>0</v>
      </c>
      <c r="AF25" s="32">
        <v>0</v>
      </c>
      <c r="AG25" s="32">
        <v>0</v>
      </c>
    </row>
    <row r="26" spans="2:34" s="2" customFormat="1" ht="48" customHeight="1" x14ac:dyDescent="0.25">
      <c r="B26" s="29" t="s">
        <v>50</v>
      </c>
      <c r="C26" s="27" t="s">
        <v>54</v>
      </c>
      <c r="D26" s="27" t="s">
        <v>148</v>
      </c>
      <c r="E26" s="27" t="s">
        <v>124</v>
      </c>
      <c r="F26" s="28">
        <v>0</v>
      </c>
      <c r="G26" s="31">
        <v>1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B26" s="35">
        <v>6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</row>
    <row r="27" spans="2:34" s="2" customFormat="1" ht="49.5" customHeight="1" x14ac:dyDescent="0.25">
      <c r="B27" s="30" t="s">
        <v>50</v>
      </c>
      <c r="C27" s="27" t="s">
        <v>55</v>
      </c>
      <c r="D27" s="27" t="s">
        <v>184</v>
      </c>
      <c r="E27" s="27" t="s">
        <v>56</v>
      </c>
      <c r="F27" s="28">
        <v>0</v>
      </c>
      <c r="G27" s="31">
        <v>2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B27" s="35">
        <v>14</v>
      </c>
      <c r="AC27" s="32">
        <v>0</v>
      </c>
      <c r="AD27" s="35">
        <v>1</v>
      </c>
      <c r="AE27" s="35">
        <v>1</v>
      </c>
      <c r="AF27" s="32">
        <v>0</v>
      </c>
      <c r="AG27" s="35">
        <v>1</v>
      </c>
    </row>
    <row r="28" spans="2:34" s="2" customFormat="1" ht="49.5" customHeight="1" x14ac:dyDescent="0.25">
      <c r="B28" s="30" t="s">
        <v>50</v>
      </c>
      <c r="C28" s="27" t="s">
        <v>55</v>
      </c>
      <c r="D28" s="27" t="s">
        <v>185</v>
      </c>
      <c r="E28" s="27" t="s">
        <v>56</v>
      </c>
      <c r="F28" s="28">
        <v>0</v>
      </c>
      <c r="G28" s="31">
        <v>2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B28" s="35">
        <v>6</v>
      </c>
      <c r="AC28" s="35">
        <v>2</v>
      </c>
      <c r="AD28" s="35">
        <v>1</v>
      </c>
      <c r="AE28" s="35">
        <v>1</v>
      </c>
      <c r="AF28" s="32">
        <v>0</v>
      </c>
      <c r="AG28" s="35">
        <v>1</v>
      </c>
    </row>
    <row r="29" spans="2:34" s="2" customFormat="1" ht="49.5" customHeight="1" x14ac:dyDescent="0.25">
      <c r="B29" s="30" t="s">
        <v>50</v>
      </c>
      <c r="C29" s="27" t="s">
        <v>55</v>
      </c>
      <c r="D29" s="27" t="s">
        <v>186</v>
      </c>
      <c r="E29" s="27" t="s">
        <v>56</v>
      </c>
      <c r="F29" s="28">
        <v>0</v>
      </c>
      <c r="G29" s="31">
        <v>1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B29" s="35">
        <v>6</v>
      </c>
      <c r="AC29" s="35">
        <v>2</v>
      </c>
      <c r="AD29" s="35">
        <v>1</v>
      </c>
      <c r="AE29" s="35">
        <v>1</v>
      </c>
      <c r="AF29" s="32">
        <v>0</v>
      </c>
      <c r="AG29" s="35">
        <v>1</v>
      </c>
    </row>
    <row r="30" spans="2:34" s="2" customFormat="1" ht="49.5" customHeight="1" x14ac:dyDescent="0.25">
      <c r="B30" s="30" t="s">
        <v>50</v>
      </c>
      <c r="C30" s="27" t="s">
        <v>55</v>
      </c>
      <c r="D30" s="27" t="s">
        <v>171</v>
      </c>
      <c r="E30" s="27" t="s">
        <v>56</v>
      </c>
      <c r="F30" s="28">
        <v>0</v>
      </c>
      <c r="G30" s="31">
        <v>1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58">
        <f>(AA32/30)*14</f>
        <v>229178915.76091686</v>
      </c>
      <c r="AB30" s="35">
        <v>4</v>
      </c>
      <c r="AC30" s="35">
        <v>2</v>
      </c>
      <c r="AD30" s="32">
        <v>0</v>
      </c>
      <c r="AE30" s="32">
        <v>0</v>
      </c>
      <c r="AF30" s="32">
        <v>0</v>
      </c>
      <c r="AG30" s="32">
        <v>0</v>
      </c>
      <c r="AH30" s="32"/>
    </row>
    <row r="31" spans="2:34" s="2" customFormat="1" ht="49.5" customHeight="1" x14ac:dyDescent="0.25">
      <c r="B31" s="30" t="s">
        <v>50</v>
      </c>
      <c r="C31" s="27" t="s">
        <v>57</v>
      </c>
      <c r="D31" s="27" t="s">
        <v>187</v>
      </c>
      <c r="E31" s="27" t="s">
        <v>125</v>
      </c>
      <c r="F31" s="28">
        <v>0</v>
      </c>
      <c r="G31" s="31">
        <v>1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58"/>
      <c r="AB31" s="35">
        <v>6</v>
      </c>
      <c r="AC31" s="32">
        <v>0</v>
      </c>
      <c r="AD31" s="35">
        <v>1</v>
      </c>
      <c r="AE31" s="35">
        <v>1</v>
      </c>
      <c r="AF31" s="32">
        <v>0</v>
      </c>
      <c r="AG31" s="35">
        <v>1</v>
      </c>
    </row>
    <row r="32" spans="2:34" s="2" customFormat="1" ht="49.5" customHeight="1" x14ac:dyDescent="0.25">
      <c r="B32" s="30" t="s">
        <v>50</v>
      </c>
      <c r="C32" s="27" t="s">
        <v>57</v>
      </c>
      <c r="D32" s="27" t="s">
        <v>149</v>
      </c>
      <c r="E32" s="27" t="s">
        <v>126</v>
      </c>
      <c r="F32" s="28">
        <v>0</v>
      </c>
      <c r="G32" s="31">
        <v>1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58">
        <f>+(G33*G97)+(L33*L97)+(O33*O97)+(Q33*Q97)+(V33*V97)</f>
        <v>491097676.63053614</v>
      </c>
      <c r="AB32" s="35">
        <v>6</v>
      </c>
      <c r="AC32" s="32">
        <v>0</v>
      </c>
      <c r="AD32" s="35">
        <v>1</v>
      </c>
      <c r="AE32" s="35">
        <v>1</v>
      </c>
      <c r="AF32" s="32">
        <v>0</v>
      </c>
      <c r="AG32" s="35">
        <v>1</v>
      </c>
    </row>
    <row r="33" spans="2:33" s="53" customFormat="1" ht="22.5" x14ac:dyDescent="0.25">
      <c r="B33" s="164" t="s">
        <v>58</v>
      </c>
      <c r="C33" s="164"/>
      <c r="D33" s="164"/>
      <c r="E33" s="164"/>
      <c r="F33" s="98">
        <f t="shared" ref="F33:Z33" si="4">SUM(F19:F32)</f>
        <v>0</v>
      </c>
      <c r="G33" s="98">
        <f t="shared" si="4"/>
        <v>24</v>
      </c>
      <c r="H33" s="98">
        <f t="shared" si="4"/>
        <v>0</v>
      </c>
      <c r="I33" s="98">
        <f t="shared" si="4"/>
        <v>0</v>
      </c>
      <c r="J33" s="98">
        <f t="shared" si="4"/>
        <v>0</v>
      </c>
      <c r="K33" s="98">
        <f t="shared" si="4"/>
        <v>0</v>
      </c>
      <c r="L33" s="98">
        <f t="shared" si="4"/>
        <v>1</v>
      </c>
      <c r="M33" s="98">
        <f t="shared" si="4"/>
        <v>0</v>
      </c>
      <c r="N33" s="98">
        <f t="shared" si="4"/>
        <v>0</v>
      </c>
      <c r="O33" s="98">
        <f t="shared" si="4"/>
        <v>0</v>
      </c>
      <c r="P33" s="98">
        <f t="shared" si="4"/>
        <v>0</v>
      </c>
      <c r="Q33" s="98">
        <f t="shared" si="4"/>
        <v>2</v>
      </c>
      <c r="R33" s="98">
        <f t="shared" si="4"/>
        <v>0</v>
      </c>
      <c r="S33" s="98">
        <f t="shared" si="4"/>
        <v>0</v>
      </c>
      <c r="T33" s="98">
        <f t="shared" si="4"/>
        <v>0</v>
      </c>
      <c r="U33" s="98">
        <f t="shared" si="4"/>
        <v>0</v>
      </c>
      <c r="V33" s="98">
        <f t="shared" si="4"/>
        <v>2</v>
      </c>
      <c r="W33" s="98">
        <f t="shared" si="4"/>
        <v>0</v>
      </c>
      <c r="X33" s="98">
        <f t="shared" si="4"/>
        <v>0</v>
      </c>
      <c r="Y33" s="98">
        <f t="shared" si="4"/>
        <v>0</v>
      </c>
      <c r="Z33" s="98">
        <f t="shared" si="4"/>
        <v>0</v>
      </c>
      <c r="AA33" s="121">
        <f>SUM(F33:Z33)</f>
        <v>29</v>
      </c>
      <c r="AB33" s="122">
        <f t="shared" ref="AB33:AG33" si="5">SUM(AB19:AB32)</f>
        <v>116</v>
      </c>
      <c r="AC33" s="122">
        <f t="shared" si="5"/>
        <v>6</v>
      </c>
      <c r="AD33" s="122">
        <f t="shared" si="5"/>
        <v>12</v>
      </c>
      <c r="AE33" s="122">
        <f t="shared" si="5"/>
        <v>12</v>
      </c>
      <c r="AF33" s="122">
        <f t="shared" si="5"/>
        <v>4</v>
      </c>
      <c r="AG33" s="122">
        <f t="shared" si="5"/>
        <v>7</v>
      </c>
    </row>
    <row r="34" spans="2:33" s="2" customFormat="1" ht="25.5" x14ac:dyDescent="0.25">
      <c r="B34" s="29" t="s">
        <v>59</v>
      </c>
      <c r="C34" s="27" t="s">
        <v>43</v>
      </c>
      <c r="D34" s="27" t="s">
        <v>60</v>
      </c>
      <c r="E34" s="27" t="s">
        <v>61</v>
      </c>
      <c r="F34" s="28">
        <v>0</v>
      </c>
      <c r="G34" s="31">
        <v>0</v>
      </c>
      <c r="H34" s="31">
        <v>1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B34" s="32">
        <v>0</v>
      </c>
      <c r="AC34" s="32">
        <v>0</v>
      </c>
      <c r="AD34" s="32">
        <v>0</v>
      </c>
      <c r="AE34" s="32">
        <v>0</v>
      </c>
      <c r="AF34" s="32">
        <v>0</v>
      </c>
      <c r="AG34" s="32">
        <v>0</v>
      </c>
    </row>
    <row r="35" spans="2:33" s="2" customFormat="1" ht="25.5" x14ac:dyDescent="0.25">
      <c r="B35" s="29" t="s">
        <v>59</v>
      </c>
      <c r="C35" s="27" t="s">
        <v>43</v>
      </c>
      <c r="D35" s="27" t="s">
        <v>62</v>
      </c>
      <c r="E35" s="27" t="s">
        <v>61</v>
      </c>
      <c r="F35" s="28">
        <v>0</v>
      </c>
      <c r="G35" s="31">
        <v>1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31">
        <v>1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31">
        <v>1</v>
      </c>
      <c r="Z35" s="28">
        <v>0</v>
      </c>
      <c r="AB35" s="32">
        <v>0</v>
      </c>
      <c r="AC35" s="32">
        <v>0</v>
      </c>
      <c r="AD35" s="32">
        <v>0</v>
      </c>
      <c r="AE35" s="32">
        <v>0</v>
      </c>
      <c r="AF35" s="32">
        <v>0</v>
      </c>
      <c r="AG35" s="32">
        <v>0</v>
      </c>
    </row>
    <row r="36" spans="2:33" s="2" customFormat="1" ht="25.5" x14ac:dyDescent="0.25">
      <c r="B36" s="29" t="s">
        <v>59</v>
      </c>
      <c r="C36" s="27" t="s">
        <v>43</v>
      </c>
      <c r="D36" s="27" t="s">
        <v>63</v>
      </c>
      <c r="E36" s="27" t="s">
        <v>61</v>
      </c>
      <c r="F36" s="28">
        <v>0</v>
      </c>
      <c r="G36" s="31">
        <v>2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B36" s="35">
        <v>25</v>
      </c>
      <c r="AC36" s="35">
        <v>2</v>
      </c>
      <c r="AD36" s="35">
        <v>3</v>
      </c>
      <c r="AE36" s="35">
        <v>1</v>
      </c>
      <c r="AF36" s="32">
        <v>0</v>
      </c>
      <c r="AG36" s="32">
        <v>0</v>
      </c>
    </row>
    <row r="37" spans="2:33" s="2" customFormat="1" ht="38.25" x14ac:dyDescent="0.25">
      <c r="B37" s="29" t="s">
        <v>59</v>
      </c>
      <c r="C37" s="27" t="s">
        <v>43</v>
      </c>
      <c r="D37" s="27" t="s">
        <v>64</v>
      </c>
      <c r="E37" s="27" t="s">
        <v>61</v>
      </c>
      <c r="F37" s="28">
        <v>0</v>
      </c>
      <c r="G37" s="31">
        <v>1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B37" s="35">
        <v>10</v>
      </c>
      <c r="AC37" s="35">
        <v>2</v>
      </c>
      <c r="AD37" s="32">
        <v>0</v>
      </c>
      <c r="AE37" s="32">
        <v>0</v>
      </c>
      <c r="AF37" s="32">
        <v>0</v>
      </c>
      <c r="AG37" s="32">
        <v>0</v>
      </c>
    </row>
    <row r="38" spans="2:33" s="2" customFormat="1" ht="38.25" x14ac:dyDescent="0.25">
      <c r="B38" s="29" t="s">
        <v>59</v>
      </c>
      <c r="C38" s="27" t="s">
        <v>43</v>
      </c>
      <c r="D38" s="27" t="s">
        <v>65</v>
      </c>
      <c r="E38" s="27" t="s">
        <v>61</v>
      </c>
      <c r="F38" s="28"/>
      <c r="G38" s="31">
        <v>1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B38" s="32">
        <v>0</v>
      </c>
      <c r="AC38" s="32">
        <v>0</v>
      </c>
      <c r="AD38" s="32">
        <v>0</v>
      </c>
      <c r="AE38" s="32">
        <v>0</v>
      </c>
      <c r="AF38" s="32">
        <v>0</v>
      </c>
      <c r="AG38" s="32">
        <v>0</v>
      </c>
    </row>
    <row r="39" spans="2:33" s="2" customFormat="1" ht="25.5" x14ac:dyDescent="0.25">
      <c r="B39" s="29" t="s">
        <v>59</v>
      </c>
      <c r="C39" s="27" t="s">
        <v>66</v>
      </c>
      <c r="D39" s="27" t="s">
        <v>67</v>
      </c>
      <c r="E39" s="27" t="s">
        <v>61</v>
      </c>
      <c r="F39" s="28">
        <v>0</v>
      </c>
      <c r="G39" s="31">
        <v>3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31">
        <v>1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B39" s="35">
        <v>13</v>
      </c>
      <c r="AC39" s="35">
        <v>1</v>
      </c>
      <c r="AD39" s="32">
        <v>0</v>
      </c>
      <c r="AE39" s="32">
        <v>0</v>
      </c>
      <c r="AF39" s="32">
        <v>0</v>
      </c>
      <c r="AG39" s="35">
        <v>2</v>
      </c>
    </row>
    <row r="40" spans="2:33" s="2" customFormat="1" ht="25.5" x14ac:dyDescent="0.25">
      <c r="B40" s="29" t="s">
        <v>59</v>
      </c>
      <c r="C40" s="27" t="s">
        <v>66</v>
      </c>
      <c r="D40" s="27" t="s">
        <v>68</v>
      </c>
      <c r="E40" s="27" t="s">
        <v>61</v>
      </c>
      <c r="F40" s="28">
        <v>0</v>
      </c>
      <c r="G40" s="31">
        <v>2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31">
        <v>1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B40" s="35">
        <v>11</v>
      </c>
      <c r="AC40" s="32">
        <v>0</v>
      </c>
      <c r="AD40" s="32">
        <v>0</v>
      </c>
      <c r="AE40" s="32">
        <v>0</v>
      </c>
      <c r="AF40" s="32">
        <v>0</v>
      </c>
      <c r="AG40" s="35">
        <v>3</v>
      </c>
    </row>
    <row r="41" spans="2:33" s="2" customFormat="1" ht="25.5" x14ac:dyDescent="0.25">
      <c r="B41" s="29" t="s">
        <v>59</v>
      </c>
      <c r="C41" s="27" t="s">
        <v>66</v>
      </c>
      <c r="D41" s="27" t="s">
        <v>69</v>
      </c>
      <c r="E41" s="27" t="s">
        <v>61</v>
      </c>
      <c r="F41" s="28">
        <v>0</v>
      </c>
      <c r="G41" s="31">
        <v>2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B41" s="35">
        <v>9</v>
      </c>
      <c r="AC41" s="35">
        <v>1</v>
      </c>
      <c r="AD41" s="35">
        <v>1</v>
      </c>
      <c r="AE41" s="35">
        <v>1</v>
      </c>
      <c r="AF41" s="32">
        <v>0</v>
      </c>
      <c r="AG41" s="35">
        <v>4</v>
      </c>
    </row>
    <row r="42" spans="2:33" s="2" customFormat="1" ht="25.5" x14ac:dyDescent="0.25">
      <c r="B42" s="29" t="s">
        <v>59</v>
      </c>
      <c r="C42" s="27" t="s">
        <v>66</v>
      </c>
      <c r="D42" s="27" t="s">
        <v>188</v>
      </c>
      <c r="E42" s="27" t="s">
        <v>61</v>
      </c>
      <c r="F42" s="28">
        <v>0</v>
      </c>
      <c r="G42" s="31">
        <v>3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B42" s="35">
        <v>11</v>
      </c>
      <c r="AC42" s="35">
        <v>1</v>
      </c>
      <c r="AD42" s="35">
        <v>1</v>
      </c>
      <c r="AE42" s="35">
        <v>1</v>
      </c>
      <c r="AF42" s="32">
        <v>0</v>
      </c>
      <c r="AG42" s="35">
        <v>3</v>
      </c>
    </row>
    <row r="43" spans="2:33" s="2" customFormat="1" ht="25.5" x14ac:dyDescent="0.25">
      <c r="B43" s="29" t="s">
        <v>59</v>
      </c>
      <c r="C43" s="27" t="s">
        <v>66</v>
      </c>
      <c r="D43" s="27" t="s">
        <v>189</v>
      </c>
      <c r="E43" s="27" t="s">
        <v>70</v>
      </c>
      <c r="F43" s="28">
        <v>0</v>
      </c>
      <c r="G43" s="31">
        <v>2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B43" s="35">
        <v>13</v>
      </c>
      <c r="AC43" s="35">
        <v>1</v>
      </c>
      <c r="AD43" s="35">
        <v>1</v>
      </c>
      <c r="AE43" s="35">
        <v>1</v>
      </c>
      <c r="AF43" s="32">
        <v>0</v>
      </c>
      <c r="AG43" s="35">
        <v>2</v>
      </c>
    </row>
    <row r="44" spans="2:33" s="2" customFormat="1" ht="25.5" x14ac:dyDescent="0.25">
      <c r="B44" s="29" t="s">
        <v>59</v>
      </c>
      <c r="C44" s="27" t="s">
        <v>66</v>
      </c>
      <c r="D44" s="27" t="s">
        <v>190</v>
      </c>
      <c r="E44" s="27" t="s">
        <v>71</v>
      </c>
      <c r="F44" s="28">
        <v>0</v>
      </c>
      <c r="G44" s="31">
        <v>1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B44" s="35">
        <v>8</v>
      </c>
      <c r="AC44" s="35">
        <v>1</v>
      </c>
      <c r="AD44" s="35">
        <v>1</v>
      </c>
      <c r="AE44" s="35">
        <v>1</v>
      </c>
      <c r="AF44" s="32">
        <v>0</v>
      </c>
      <c r="AG44" s="35">
        <v>1</v>
      </c>
    </row>
    <row r="45" spans="2:33" s="2" customFormat="1" ht="25.5" x14ac:dyDescent="0.25">
      <c r="B45" s="29" t="s">
        <v>59</v>
      </c>
      <c r="C45" s="27" t="s">
        <v>66</v>
      </c>
      <c r="D45" s="27" t="s">
        <v>72</v>
      </c>
      <c r="E45" s="27" t="s">
        <v>73</v>
      </c>
      <c r="F45" s="28">
        <v>0</v>
      </c>
      <c r="G45" s="31">
        <v>1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</row>
    <row r="46" spans="2:33" s="2" customFormat="1" ht="25.5" x14ac:dyDescent="0.25">
      <c r="B46" s="29" t="s">
        <v>59</v>
      </c>
      <c r="C46" s="27" t="s">
        <v>155</v>
      </c>
      <c r="D46" s="27" t="s">
        <v>191</v>
      </c>
      <c r="E46" s="27" t="s">
        <v>71</v>
      </c>
      <c r="F46" s="28">
        <v>0</v>
      </c>
      <c r="G46" s="31">
        <v>2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58">
        <f>(AA48/30)*14</f>
        <v>274049385.03649741</v>
      </c>
      <c r="AB46" s="35">
        <v>8</v>
      </c>
      <c r="AC46" s="35">
        <v>1</v>
      </c>
      <c r="AD46" s="35">
        <v>1</v>
      </c>
      <c r="AE46" s="35">
        <v>1</v>
      </c>
      <c r="AF46" s="32">
        <v>0</v>
      </c>
      <c r="AG46" s="35">
        <v>3</v>
      </c>
    </row>
    <row r="47" spans="2:33" s="2" customFormat="1" ht="25.5" x14ac:dyDescent="0.25">
      <c r="B47" s="29" t="s">
        <v>59</v>
      </c>
      <c r="C47" s="27" t="s">
        <v>155</v>
      </c>
      <c r="D47" s="27" t="s">
        <v>172</v>
      </c>
      <c r="E47" s="27" t="s">
        <v>61</v>
      </c>
      <c r="F47" s="28">
        <v>0</v>
      </c>
      <c r="G47" s="31">
        <v>3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32">
        <v>0</v>
      </c>
    </row>
    <row r="48" spans="2:33" s="2" customFormat="1" ht="25.5" x14ac:dyDescent="0.25">
      <c r="B48" s="29" t="s">
        <v>59</v>
      </c>
      <c r="C48" s="27" t="s">
        <v>155</v>
      </c>
      <c r="D48" s="27" t="s">
        <v>173</v>
      </c>
      <c r="E48" s="27" t="s">
        <v>127</v>
      </c>
      <c r="F48" s="28">
        <v>0</v>
      </c>
      <c r="G48" s="31">
        <v>5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58">
        <f>+(G49*G97)+(H49*H97)+(P49*P97)+(Q49*Q97)+(Y49*Y97)</f>
        <v>587248682.22106588</v>
      </c>
      <c r="AB48" s="32">
        <v>0</v>
      </c>
      <c r="AC48" s="32">
        <v>0</v>
      </c>
      <c r="AD48" s="32">
        <v>0</v>
      </c>
      <c r="AE48" s="32">
        <v>0</v>
      </c>
      <c r="AF48" s="32">
        <v>0</v>
      </c>
      <c r="AG48" s="32">
        <v>0</v>
      </c>
    </row>
    <row r="49" spans="2:33" s="53" customFormat="1" ht="22.5" x14ac:dyDescent="0.25">
      <c r="B49" s="164" t="s">
        <v>74</v>
      </c>
      <c r="C49" s="164"/>
      <c r="D49" s="164"/>
      <c r="E49" s="164"/>
      <c r="F49" s="98">
        <f t="shared" ref="F49:Z49" si="6">SUM(F34:F48)</f>
        <v>0</v>
      </c>
      <c r="G49" s="98">
        <f t="shared" si="6"/>
        <v>29</v>
      </c>
      <c r="H49" s="98">
        <f t="shared" si="6"/>
        <v>1</v>
      </c>
      <c r="I49" s="98">
        <f t="shared" si="6"/>
        <v>0</v>
      </c>
      <c r="J49" s="98">
        <f t="shared" si="6"/>
        <v>0</v>
      </c>
      <c r="K49" s="98">
        <f t="shared" si="6"/>
        <v>0</v>
      </c>
      <c r="L49" s="98">
        <f t="shared" si="6"/>
        <v>0</v>
      </c>
      <c r="M49" s="98">
        <f t="shared" si="6"/>
        <v>0</v>
      </c>
      <c r="N49" s="98">
        <f t="shared" si="6"/>
        <v>0</v>
      </c>
      <c r="O49" s="98">
        <f t="shared" si="6"/>
        <v>0</v>
      </c>
      <c r="P49" s="98">
        <f t="shared" si="6"/>
        <v>1</v>
      </c>
      <c r="Q49" s="98">
        <f t="shared" si="6"/>
        <v>2</v>
      </c>
      <c r="R49" s="98">
        <f t="shared" si="6"/>
        <v>0</v>
      </c>
      <c r="S49" s="98">
        <f t="shared" si="6"/>
        <v>0</v>
      </c>
      <c r="T49" s="98">
        <f t="shared" si="6"/>
        <v>0</v>
      </c>
      <c r="U49" s="98">
        <f t="shared" si="6"/>
        <v>0</v>
      </c>
      <c r="V49" s="98">
        <f t="shared" si="6"/>
        <v>0</v>
      </c>
      <c r="W49" s="98">
        <f t="shared" si="6"/>
        <v>0</v>
      </c>
      <c r="X49" s="98">
        <f t="shared" si="6"/>
        <v>0</v>
      </c>
      <c r="Y49" s="98">
        <f t="shared" si="6"/>
        <v>1</v>
      </c>
      <c r="Z49" s="98">
        <f t="shared" si="6"/>
        <v>0</v>
      </c>
      <c r="AA49" s="121">
        <f>SUM(F49:Z49)</f>
        <v>34</v>
      </c>
      <c r="AB49" s="122">
        <f>SUM(AB34:AB48)</f>
        <v>108</v>
      </c>
      <c r="AC49" s="122">
        <f t="shared" ref="AC49:AG49" si="7">SUM(AC34:AC48)</f>
        <v>10</v>
      </c>
      <c r="AD49" s="122">
        <f t="shared" si="7"/>
        <v>8</v>
      </c>
      <c r="AE49" s="122">
        <f t="shared" si="7"/>
        <v>6</v>
      </c>
      <c r="AF49" s="122">
        <f t="shared" si="7"/>
        <v>0</v>
      </c>
      <c r="AG49" s="122">
        <f t="shared" si="7"/>
        <v>18</v>
      </c>
    </row>
    <row r="50" spans="2:33" s="2" customFormat="1" ht="25.5" x14ac:dyDescent="0.25">
      <c r="B50" s="29" t="s">
        <v>75</v>
      </c>
      <c r="C50" s="27" t="s">
        <v>198</v>
      </c>
      <c r="D50" s="27" t="s">
        <v>196</v>
      </c>
      <c r="E50" s="27" t="s">
        <v>128</v>
      </c>
      <c r="F50" s="28">
        <v>0</v>
      </c>
      <c r="G50" s="31">
        <v>7</v>
      </c>
      <c r="H50" s="31">
        <v>1</v>
      </c>
      <c r="I50" s="28"/>
      <c r="J50" s="28"/>
      <c r="K50" s="28"/>
      <c r="L50" s="28">
        <v>0</v>
      </c>
      <c r="M50" s="28">
        <v>0</v>
      </c>
      <c r="N50" s="28">
        <v>0</v>
      </c>
      <c r="O50" s="28">
        <v>0</v>
      </c>
      <c r="P50" s="31">
        <v>1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B50" s="35">
        <v>45</v>
      </c>
      <c r="AC50" s="35">
        <v>2</v>
      </c>
      <c r="AD50" s="35">
        <v>2</v>
      </c>
      <c r="AE50" s="35">
        <v>2</v>
      </c>
      <c r="AF50" s="32">
        <v>0</v>
      </c>
      <c r="AG50" s="35">
        <v>1</v>
      </c>
    </row>
    <row r="51" spans="2:33" s="2" customFormat="1" ht="25.5" x14ac:dyDescent="0.25">
      <c r="B51" s="29" t="s">
        <v>75</v>
      </c>
      <c r="C51" s="27" t="s">
        <v>198</v>
      </c>
      <c r="D51" s="27" t="s">
        <v>76</v>
      </c>
      <c r="E51" s="27" t="s">
        <v>128</v>
      </c>
      <c r="F51" s="28">
        <v>0</v>
      </c>
      <c r="G51" s="31">
        <v>1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31">
        <v>1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B51" s="35">
        <v>6</v>
      </c>
      <c r="AC51" s="35">
        <v>1</v>
      </c>
      <c r="AD51" s="35">
        <v>1</v>
      </c>
      <c r="AE51" s="35">
        <v>1</v>
      </c>
      <c r="AF51" s="32">
        <v>0</v>
      </c>
      <c r="AG51" s="35">
        <v>1</v>
      </c>
    </row>
    <row r="52" spans="2:33" s="2" customFormat="1" ht="25.5" x14ac:dyDescent="0.25">
      <c r="B52" s="29" t="s">
        <v>75</v>
      </c>
      <c r="C52" s="27" t="s">
        <v>198</v>
      </c>
      <c r="D52" s="27" t="s">
        <v>156</v>
      </c>
      <c r="E52" s="27" t="s">
        <v>128</v>
      </c>
      <c r="F52" s="28">
        <v>0</v>
      </c>
      <c r="G52" s="31">
        <v>3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B52" s="35">
        <f>25</f>
        <v>25</v>
      </c>
      <c r="AC52" s="32">
        <v>0</v>
      </c>
      <c r="AD52" s="35">
        <f>2</f>
        <v>2</v>
      </c>
      <c r="AE52" s="35">
        <v>2</v>
      </c>
      <c r="AF52" s="32">
        <v>0</v>
      </c>
      <c r="AG52" s="35">
        <v>1</v>
      </c>
    </row>
    <row r="53" spans="2:33" s="2" customFormat="1" ht="38.25" x14ac:dyDescent="0.25">
      <c r="B53" s="29" t="s">
        <v>75</v>
      </c>
      <c r="C53" s="27" t="s">
        <v>169</v>
      </c>
      <c r="D53" s="27" t="s">
        <v>157</v>
      </c>
      <c r="E53" s="27" t="s">
        <v>128</v>
      </c>
      <c r="F53" s="28">
        <v>0</v>
      </c>
      <c r="G53" s="31">
        <v>6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B53" s="35">
        <v>25</v>
      </c>
      <c r="AC53" s="35">
        <v>1</v>
      </c>
      <c r="AD53" s="35">
        <v>1</v>
      </c>
      <c r="AE53" s="35">
        <v>1</v>
      </c>
      <c r="AF53" s="32">
        <v>0</v>
      </c>
      <c r="AG53" s="35">
        <v>1</v>
      </c>
    </row>
    <row r="54" spans="2:33" s="2" customFormat="1" ht="25.5" x14ac:dyDescent="0.25">
      <c r="B54" s="29" t="s">
        <v>75</v>
      </c>
      <c r="C54" s="27" t="s">
        <v>198</v>
      </c>
      <c r="D54" s="27" t="s">
        <v>170</v>
      </c>
      <c r="E54" s="27" t="s">
        <v>159</v>
      </c>
      <c r="F54" s="28">
        <v>0</v>
      </c>
      <c r="G54" s="31">
        <v>4</v>
      </c>
      <c r="H54" s="31">
        <v>1</v>
      </c>
      <c r="I54" s="28"/>
      <c r="J54" s="28"/>
      <c r="K54" s="28"/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58">
        <f>(AA56/30)*14</f>
        <v>280090886.49253052</v>
      </c>
      <c r="AB54" s="32">
        <v>0</v>
      </c>
      <c r="AC54" s="32">
        <v>0</v>
      </c>
      <c r="AD54" s="32">
        <v>0</v>
      </c>
      <c r="AE54" s="32">
        <v>0</v>
      </c>
      <c r="AF54" s="32">
        <v>0</v>
      </c>
      <c r="AG54" s="32">
        <v>0</v>
      </c>
    </row>
    <row r="55" spans="2:33" s="2" customFormat="1" ht="25.5" x14ac:dyDescent="0.25">
      <c r="B55" s="29" t="s">
        <v>75</v>
      </c>
      <c r="C55" s="27" t="s">
        <v>169</v>
      </c>
      <c r="D55" s="27" t="s">
        <v>158</v>
      </c>
      <c r="E55" s="27" t="s">
        <v>129</v>
      </c>
      <c r="F55" s="28">
        <v>0</v>
      </c>
      <c r="G55" s="31">
        <v>7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B55" s="35">
        <v>15</v>
      </c>
      <c r="AC55" s="35">
        <v>1</v>
      </c>
      <c r="AD55" s="35">
        <v>1</v>
      </c>
      <c r="AE55" s="35">
        <v>1</v>
      </c>
      <c r="AF55" s="32">
        <v>0</v>
      </c>
      <c r="AG55" s="35">
        <v>1</v>
      </c>
    </row>
    <row r="56" spans="2:33" s="2" customFormat="1" ht="25.5" x14ac:dyDescent="0.25">
      <c r="B56" s="29" t="s">
        <v>75</v>
      </c>
      <c r="C56" s="27" t="s">
        <v>169</v>
      </c>
      <c r="D56" s="27" t="s">
        <v>174</v>
      </c>
      <c r="E56" s="27" t="s">
        <v>129</v>
      </c>
      <c r="F56" s="28">
        <v>0</v>
      </c>
      <c r="G56" s="31">
        <v>1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31">
        <v>1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58">
        <f>+(G57*G97)+(H57*H97)+(P57*P97)</f>
        <v>600194756.76970828</v>
      </c>
      <c r="AB56" s="35">
        <v>5</v>
      </c>
      <c r="AC56" s="35">
        <v>0</v>
      </c>
      <c r="AD56" s="35">
        <v>1</v>
      </c>
      <c r="AE56" s="35">
        <v>1</v>
      </c>
      <c r="AF56" s="32">
        <v>0</v>
      </c>
      <c r="AG56" s="35">
        <v>1</v>
      </c>
    </row>
    <row r="57" spans="2:33" s="53" customFormat="1" ht="22.5" x14ac:dyDescent="0.25">
      <c r="B57" s="164" t="s">
        <v>77</v>
      </c>
      <c r="C57" s="164"/>
      <c r="D57" s="164"/>
      <c r="E57" s="164"/>
      <c r="F57" s="98">
        <f>SUM(F50:F56)</f>
        <v>0</v>
      </c>
      <c r="G57" s="98">
        <f>SUM(G50:G56)</f>
        <v>29</v>
      </c>
      <c r="H57" s="98">
        <f t="shared" ref="H57:Z57" si="8">SUM(H50:H56)</f>
        <v>2</v>
      </c>
      <c r="I57" s="98">
        <f t="shared" si="8"/>
        <v>0</v>
      </c>
      <c r="J57" s="98">
        <f t="shared" si="8"/>
        <v>0</v>
      </c>
      <c r="K57" s="98">
        <f t="shared" si="8"/>
        <v>0</v>
      </c>
      <c r="L57" s="98">
        <f t="shared" si="8"/>
        <v>0</v>
      </c>
      <c r="M57" s="98">
        <f t="shared" si="8"/>
        <v>0</v>
      </c>
      <c r="N57" s="98">
        <f t="shared" si="8"/>
        <v>0</v>
      </c>
      <c r="O57" s="98">
        <f t="shared" si="8"/>
        <v>0</v>
      </c>
      <c r="P57" s="98">
        <f t="shared" si="8"/>
        <v>3</v>
      </c>
      <c r="Q57" s="98">
        <f t="shared" si="8"/>
        <v>0</v>
      </c>
      <c r="R57" s="98">
        <f t="shared" si="8"/>
        <v>0</v>
      </c>
      <c r="S57" s="98">
        <f t="shared" si="8"/>
        <v>0</v>
      </c>
      <c r="T57" s="98">
        <f t="shared" si="8"/>
        <v>0</v>
      </c>
      <c r="U57" s="98">
        <f t="shared" si="8"/>
        <v>0</v>
      </c>
      <c r="V57" s="98">
        <f t="shared" si="8"/>
        <v>0</v>
      </c>
      <c r="W57" s="98">
        <f t="shared" si="8"/>
        <v>0</v>
      </c>
      <c r="X57" s="98">
        <f t="shared" si="8"/>
        <v>0</v>
      </c>
      <c r="Y57" s="98">
        <f t="shared" si="8"/>
        <v>0</v>
      </c>
      <c r="Z57" s="98">
        <f t="shared" si="8"/>
        <v>0</v>
      </c>
      <c r="AA57" s="121">
        <f>SUM(F57:Z57)</f>
        <v>34</v>
      </c>
      <c r="AB57" s="123">
        <f>SUM(AB50:AB56)</f>
        <v>121</v>
      </c>
      <c r="AC57" s="123">
        <f t="shared" ref="AC57:AG57" si="9">SUM(AC50:AC56)</f>
        <v>5</v>
      </c>
      <c r="AD57" s="123">
        <f t="shared" si="9"/>
        <v>8</v>
      </c>
      <c r="AE57" s="123">
        <f t="shared" si="9"/>
        <v>8</v>
      </c>
      <c r="AF57" s="123">
        <f t="shared" si="9"/>
        <v>0</v>
      </c>
      <c r="AG57" s="123">
        <f t="shared" si="9"/>
        <v>6</v>
      </c>
    </row>
    <row r="58" spans="2:33" s="2" customFormat="1" x14ac:dyDescent="0.25">
      <c r="B58" s="29" t="s">
        <v>78</v>
      </c>
      <c r="C58" s="27" t="s">
        <v>33</v>
      </c>
      <c r="D58" s="27" t="s">
        <v>160</v>
      </c>
      <c r="E58" s="27" t="s">
        <v>119</v>
      </c>
      <c r="F58" s="28">
        <v>0</v>
      </c>
      <c r="G58" s="31">
        <v>5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B58" s="35">
        <v>26</v>
      </c>
      <c r="AC58" s="35">
        <v>3</v>
      </c>
      <c r="AD58" s="35">
        <v>1</v>
      </c>
      <c r="AE58" s="35">
        <v>1</v>
      </c>
      <c r="AF58" s="35">
        <v>1</v>
      </c>
      <c r="AG58" s="35">
        <v>2</v>
      </c>
    </row>
    <row r="59" spans="2:33" s="2" customFormat="1" x14ac:dyDescent="0.25">
      <c r="B59" s="29" t="s">
        <v>78</v>
      </c>
      <c r="C59" s="27" t="s">
        <v>43</v>
      </c>
      <c r="D59" s="27" t="s">
        <v>164</v>
      </c>
      <c r="E59" s="27" t="s">
        <v>119</v>
      </c>
      <c r="F59" s="28">
        <v>0</v>
      </c>
      <c r="G59" s="31">
        <v>1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B59" s="32">
        <v>0</v>
      </c>
      <c r="AC59" s="32">
        <v>0</v>
      </c>
      <c r="AD59" s="32">
        <v>0</v>
      </c>
      <c r="AE59" s="32">
        <v>0</v>
      </c>
      <c r="AF59" s="32">
        <v>0</v>
      </c>
      <c r="AG59" s="32">
        <v>0</v>
      </c>
    </row>
    <row r="60" spans="2:33" s="2" customFormat="1" ht="25.5" x14ac:dyDescent="0.25">
      <c r="B60" s="30" t="s">
        <v>78</v>
      </c>
      <c r="C60" s="27" t="s">
        <v>79</v>
      </c>
      <c r="D60" s="27" t="s">
        <v>161</v>
      </c>
      <c r="E60" s="27" t="s">
        <v>119</v>
      </c>
      <c r="F60" s="28">
        <v>0</v>
      </c>
      <c r="G60" s="36">
        <v>1</v>
      </c>
      <c r="H60" s="31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B60" s="32">
        <v>0</v>
      </c>
      <c r="AC60" s="32">
        <v>0</v>
      </c>
      <c r="AD60" s="32">
        <v>0</v>
      </c>
      <c r="AE60" s="32">
        <v>0</v>
      </c>
      <c r="AF60" s="32">
        <v>0</v>
      </c>
      <c r="AG60" s="32">
        <v>0</v>
      </c>
    </row>
    <row r="61" spans="2:33" s="2" customFormat="1" ht="25.5" x14ac:dyDescent="0.25">
      <c r="B61" s="30" t="s">
        <v>78</v>
      </c>
      <c r="C61" s="27" t="s">
        <v>79</v>
      </c>
      <c r="D61" s="27" t="s">
        <v>162</v>
      </c>
      <c r="E61" s="27" t="s">
        <v>119</v>
      </c>
      <c r="F61" s="28">
        <v>0</v>
      </c>
      <c r="G61" s="36">
        <v>3</v>
      </c>
      <c r="H61" s="31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B61" s="35">
        <v>16</v>
      </c>
      <c r="AC61" s="32">
        <v>0</v>
      </c>
      <c r="AD61" s="35">
        <v>1</v>
      </c>
      <c r="AE61" s="35">
        <v>1</v>
      </c>
      <c r="AF61" s="35">
        <v>1</v>
      </c>
      <c r="AG61" s="35">
        <v>1</v>
      </c>
    </row>
    <row r="62" spans="2:33" s="2" customFormat="1" ht="25.5" x14ac:dyDescent="0.25">
      <c r="B62" s="30" t="s">
        <v>78</v>
      </c>
      <c r="C62" s="27" t="s">
        <v>79</v>
      </c>
      <c r="D62" s="27" t="s">
        <v>163</v>
      </c>
      <c r="E62" s="27" t="s">
        <v>119</v>
      </c>
      <c r="F62" s="28">
        <v>0</v>
      </c>
      <c r="G62" s="36">
        <v>1</v>
      </c>
      <c r="H62" s="31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B62" s="32">
        <v>0</v>
      </c>
      <c r="AC62" s="32">
        <v>0</v>
      </c>
      <c r="AD62" s="32">
        <v>0</v>
      </c>
      <c r="AE62" s="32">
        <v>0</v>
      </c>
      <c r="AF62" s="32">
        <v>0</v>
      </c>
      <c r="AG62" s="32">
        <v>0</v>
      </c>
    </row>
    <row r="63" spans="2:33" s="2" customFormat="1" ht="38.25" x14ac:dyDescent="0.25">
      <c r="B63" s="30" t="s">
        <v>78</v>
      </c>
      <c r="C63" s="27" t="s">
        <v>79</v>
      </c>
      <c r="D63" s="27" t="s">
        <v>80</v>
      </c>
      <c r="E63" s="27" t="s">
        <v>119</v>
      </c>
      <c r="F63" s="28">
        <v>0</v>
      </c>
      <c r="G63" s="36">
        <v>2</v>
      </c>
      <c r="H63" s="31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B63" s="35">
        <v>23</v>
      </c>
      <c r="AC63" s="32">
        <v>0</v>
      </c>
      <c r="AD63" s="35">
        <v>1</v>
      </c>
      <c r="AE63" s="35">
        <v>1</v>
      </c>
      <c r="AF63" s="35">
        <v>1</v>
      </c>
      <c r="AG63" s="35">
        <v>1</v>
      </c>
    </row>
    <row r="64" spans="2:33" s="2" customFormat="1" ht="25.5" x14ac:dyDescent="0.25">
      <c r="B64" s="29" t="s">
        <v>78</v>
      </c>
      <c r="C64" s="27" t="s">
        <v>81</v>
      </c>
      <c r="D64" s="27" t="s">
        <v>82</v>
      </c>
      <c r="E64" s="27" t="s">
        <v>130</v>
      </c>
      <c r="F64" s="28">
        <v>0</v>
      </c>
      <c r="G64" s="31">
        <v>4</v>
      </c>
      <c r="H64" s="28">
        <v>0</v>
      </c>
      <c r="I64" s="28">
        <v>0</v>
      </c>
      <c r="J64" s="28">
        <v>0</v>
      </c>
      <c r="K64" s="28">
        <v>0</v>
      </c>
      <c r="L64" s="31">
        <v>1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31">
        <v>1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B64" s="35">
        <v>28</v>
      </c>
      <c r="AC64" s="35">
        <v>4</v>
      </c>
      <c r="AD64" s="35">
        <v>2</v>
      </c>
      <c r="AE64" s="35">
        <v>2</v>
      </c>
      <c r="AF64" s="35">
        <v>2</v>
      </c>
      <c r="AG64" s="35">
        <v>5</v>
      </c>
    </row>
    <row r="65" spans="2:33" s="2" customFormat="1" ht="25.5" x14ac:dyDescent="0.25">
      <c r="B65" s="29" t="s">
        <v>78</v>
      </c>
      <c r="C65" s="27" t="s">
        <v>83</v>
      </c>
      <c r="D65" s="27" t="s">
        <v>141</v>
      </c>
      <c r="E65" s="27" t="s">
        <v>131</v>
      </c>
      <c r="F65" s="31">
        <v>2</v>
      </c>
      <c r="G65" s="31">
        <v>3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B65" s="35">
        <v>19</v>
      </c>
      <c r="AC65" s="35">
        <v>4</v>
      </c>
      <c r="AD65" s="35">
        <v>2</v>
      </c>
      <c r="AE65" s="35">
        <v>2</v>
      </c>
      <c r="AF65" s="35">
        <v>2</v>
      </c>
      <c r="AG65" s="35">
        <v>5</v>
      </c>
    </row>
    <row r="66" spans="2:33" s="2" customFormat="1" ht="25.5" x14ac:dyDescent="0.25">
      <c r="B66" s="30" t="s">
        <v>78</v>
      </c>
      <c r="C66" s="27" t="s">
        <v>84</v>
      </c>
      <c r="D66" s="27" t="s">
        <v>85</v>
      </c>
      <c r="E66" s="27" t="s">
        <v>132</v>
      </c>
      <c r="F66" s="36">
        <v>1</v>
      </c>
      <c r="G66" s="36">
        <v>5</v>
      </c>
      <c r="H66" s="31">
        <v>1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B66" s="35">
        <v>67</v>
      </c>
      <c r="AC66" s="35">
        <v>2</v>
      </c>
      <c r="AD66" s="35">
        <v>3</v>
      </c>
      <c r="AE66" s="35">
        <v>3</v>
      </c>
      <c r="AF66" s="35">
        <v>1</v>
      </c>
      <c r="AG66" s="35">
        <v>3</v>
      </c>
    </row>
    <row r="67" spans="2:33" s="2" customFormat="1" ht="25.5" x14ac:dyDescent="0.25">
      <c r="B67" s="30" t="s">
        <v>78</v>
      </c>
      <c r="C67" s="27" t="s">
        <v>84</v>
      </c>
      <c r="D67" s="27" t="s">
        <v>140</v>
      </c>
      <c r="E67" s="27" t="s">
        <v>132</v>
      </c>
      <c r="F67" s="28">
        <v>0</v>
      </c>
      <c r="G67" s="36">
        <v>1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B67" s="35">
        <v>8</v>
      </c>
      <c r="AC67" s="35">
        <v>1</v>
      </c>
      <c r="AD67" s="35">
        <v>1</v>
      </c>
      <c r="AE67" s="35">
        <v>1</v>
      </c>
      <c r="AF67" s="32">
        <v>0</v>
      </c>
      <c r="AG67" s="32">
        <v>0</v>
      </c>
    </row>
    <row r="68" spans="2:33" s="2" customFormat="1" ht="25.5" x14ac:dyDescent="0.25">
      <c r="B68" s="30" t="s">
        <v>78</v>
      </c>
      <c r="C68" s="27" t="s">
        <v>84</v>
      </c>
      <c r="D68" s="27" t="s">
        <v>86</v>
      </c>
      <c r="E68" s="27" t="s">
        <v>132</v>
      </c>
      <c r="F68" s="28">
        <v>0</v>
      </c>
      <c r="G68" s="36">
        <v>2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B68" s="32">
        <v>0</v>
      </c>
      <c r="AC68" s="32">
        <v>0</v>
      </c>
      <c r="AD68" s="32">
        <v>0</v>
      </c>
      <c r="AE68" s="32">
        <v>0</v>
      </c>
      <c r="AF68" s="32">
        <v>0</v>
      </c>
      <c r="AG68" s="32">
        <v>0</v>
      </c>
    </row>
    <row r="69" spans="2:33" s="2" customFormat="1" ht="25.5" x14ac:dyDescent="0.25">
      <c r="B69" s="29" t="s">
        <v>78</v>
      </c>
      <c r="C69" s="27" t="s">
        <v>87</v>
      </c>
      <c r="D69" s="27" t="s">
        <v>165</v>
      </c>
      <c r="E69" s="27" t="s">
        <v>132</v>
      </c>
      <c r="F69" s="28">
        <v>0</v>
      </c>
      <c r="G69" s="31">
        <v>2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B69" s="35">
        <v>13</v>
      </c>
      <c r="AC69" s="35">
        <v>3</v>
      </c>
      <c r="AD69" s="35">
        <v>1</v>
      </c>
      <c r="AE69" s="35">
        <v>1</v>
      </c>
      <c r="AF69" s="32">
        <v>0</v>
      </c>
      <c r="AG69" s="32">
        <v>0</v>
      </c>
    </row>
    <row r="70" spans="2:33" s="2" customFormat="1" ht="25.5" x14ac:dyDescent="0.25">
      <c r="B70" s="29" t="s">
        <v>78</v>
      </c>
      <c r="C70" s="27" t="s">
        <v>87</v>
      </c>
      <c r="D70" s="27" t="s">
        <v>142</v>
      </c>
      <c r="E70" s="27" t="s">
        <v>132</v>
      </c>
      <c r="F70" s="28">
        <v>0</v>
      </c>
      <c r="G70" s="31">
        <v>1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B70" s="32">
        <v>0</v>
      </c>
      <c r="AC70" s="32">
        <v>0</v>
      </c>
      <c r="AD70" s="32">
        <v>0</v>
      </c>
      <c r="AE70" s="32">
        <v>0</v>
      </c>
      <c r="AF70" s="32">
        <v>0</v>
      </c>
      <c r="AG70" s="32">
        <v>0</v>
      </c>
    </row>
    <row r="71" spans="2:33" s="2" customFormat="1" ht="25.5" x14ac:dyDescent="0.25">
      <c r="B71" s="29" t="s">
        <v>78</v>
      </c>
      <c r="C71" s="27" t="s">
        <v>87</v>
      </c>
      <c r="D71" s="27" t="s">
        <v>88</v>
      </c>
      <c r="E71" s="27" t="s">
        <v>133</v>
      </c>
      <c r="F71" s="28">
        <v>0</v>
      </c>
      <c r="G71" s="31">
        <v>3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31">
        <v>1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B71" s="35">
        <v>28</v>
      </c>
      <c r="AC71" s="35">
        <v>4</v>
      </c>
      <c r="AD71" s="32">
        <v>0</v>
      </c>
      <c r="AE71" s="32">
        <v>0</v>
      </c>
      <c r="AF71" s="35">
        <v>1</v>
      </c>
      <c r="AG71" s="35">
        <v>1</v>
      </c>
    </row>
    <row r="72" spans="2:33" s="2" customFormat="1" ht="38.25" x14ac:dyDescent="0.25">
      <c r="B72" s="29" t="s">
        <v>78</v>
      </c>
      <c r="C72" s="27" t="s">
        <v>87</v>
      </c>
      <c r="D72" s="27" t="s">
        <v>192</v>
      </c>
      <c r="E72" s="27" t="s">
        <v>119</v>
      </c>
      <c r="F72" s="28">
        <v>0</v>
      </c>
      <c r="G72" s="31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31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B72" s="32">
        <v>0</v>
      </c>
      <c r="AC72" s="32">
        <v>0</v>
      </c>
      <c r="AD72" s="32">
        <v>0</v>
      </c>
      <c r="AE72" s="32">
        <v>0</v>
      </c>
      <c r="AF72" s="32">
        <v>0</v>
      </c>
      <c r="AG72" s="32">
        <v>0</v>
      </c>
    </row>
    <row r="73" spans="2:33" s="2" customFormat="1" x14ac:dyDescent="0.25">
      <c r="B73" s="30" t="s">
        <v>78</v>
      </c>
      <c r="C73" s="27" t="s">
        <v>89</v>
      </c>
      <c r="D73" s="27" t="s">
        <v>175</v>
      </c>
      <c r="E73" s="27" t="s">
        <v>120</v>
      </c>
      <c r="F73" s="33">
        <v>0</v>
      </c>
      <c r="G73" s="37">
        <v>3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34">
        <v>0</v>
      </c>
      <c r="V73" s="34">
        <v>0</v>
      </c>
      <c r="W73" s="34">
        <v>0</v>
      </c>
      <c r="X73" s="28">
        <v>0</v>
      </c>
      <c r="Y73" s="28">
        <v>0</v>
      </c>
      <c r="Z73" s="28">
        <v>0</v>
      </c>
      <c r="AB73" s="35">
        <v>24</v>
      </c>
      <c r="AC73" s="35">
        <v>1</v>
      </c>
      <c r="AD73" s="35">
        <v>1</v>
      </c>
      <c r="AE73" s="35">
        <v>1</v>
      </c>
      <c r="AF73" s="32">
        <v>0</v>
      </c>
      <c r="AG73" s="35">
        <v>4</v>
      </c>
    </row>
    <row r="74" spans="2:33" s="2" customFormat="1" x14ac:dyDescent="0.25">
      <c r="B74" s="30" t="s">
        <v>78</v>
      </c>
      <c r="C74" s="27" t="s">
        <v>89</v>
      </c>
      <c r="D74" s="27" t="s">
        <v>176</v>
      </c>
      <c r="E74" s="27" t="s">
        <v>118</v>
      </c>
      <c r="F74" s="33">
        <v>0</v>
      </c>
      <c r="G74" s="37">
        <v>1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34">
        <v>0</v>
      </c>
      <c r="V74" s="34">
        <v>0</v>
      </c>
      <c r="W74" s="34">
        <v>0</v>
      </c>
      <c r="X74" s="28">
        <v>0</v>
      </c>
      <c r="Y74" s="28">
        <v>0</v>
      </c>
      <c r="Z74" s="28">
        <v>0</v>
      </c>
      <c r="AB74" s="35">
        <v>8</v>
      </c>
      <c r="AC74" s="32">
        <v>0</v>
      </c>
      <c r="AD74" s="35">
        <v>1</v>
      </c>
      <c r="AE74" s="35">
        <v>1</v>
      </c>
      <c r="AF74" s="32">
        <v>0</v>
      </c>
      <c r="AG74" s="35">
        <v>2</v>
      </c>
    </row>
    <row r="75" spans="2:33" s="2" customFormat="1" ht="25.5" x14ac:dyDescent="0.25">
      <c r="B75" s="29" t="s">
        <v>78</v>
      </c>
      <c r="C75" s="27" t="s">
        <v>90</v>
      </c>
      <c r="D75" s="27" t="s">
        <v>177</v>
      </c>
      <c r="E75" s="27" t="s">
        <v>116</v>
      </c>
      <c r="F75" s="28">
        <v>0</v>
      </c>
      <c r="G75" s="31">
        <v>3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B75" s="35">
        <v>9</v>
      </c>
      <c r="AC75" s="35">
        <v>2</v>
      </c>
      <c r="AD75" s="35">
        <v>1</v>
      </c>
      <c r="AE75" s="35">
        <v>1</v>
      </c>
      <c r="AF75" s="35">
        <v>1</v>
      </c>
      <c r="AG75" s="35">
        <v>2</v>
      </c>
    </row>
    <row r="76" spans="2:33" s="2" customFormat="1" ht="25.5" x14ac:dyDescent="0.25">
      <c r="B76" s="29" t="s">
        <v>78</v>
      </c>
      <c r="C76" s="27" t="s">
        <v>91</v>
      </c>
      <c r="D76" s="27" t="s">
        <v>166</v>
      </c>
      <c r="E76" s="27" t="s">
        <v>117</v>
      </c>
      <c r="F76" s="28">
        <v>0</v>
      </c>
      <c r="G76" s="31">
        <v>3</v>
      </c>
      <c r="H76" s="28">
        <v>0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B76" s="35">
        <v>11</v>
      </c>
      <c r="AC76" s="35">
        <v>2</v>
      </c>
      <c r="AD76" s="35">
        <v>1</v>
      </c>
      <c r="AE76" s="35">
        <v>1</v>
      </c>
      <c r="AF76" s="32">
        <v>0</v>
      </c>
      <c r="AG76" s="35">
        <v>6</v>
      </c>
    </row>
    <row r="77" spans="2:33" s="2" customFormat="1" ht="25.5" x14ac:dyDescent="0.25">
      <c r="B77" s="29" t="s">
        <v>78</v>
      </c>
      <c r="C77" s="27" t="s">
        <v>91</v>
      </c>
      <c r="D77" s="27" t="s">
        <v>199</v>
      </c>
      <c r="E77" s="27" t="s">
        <v>116</v>
      </c>
      <c r="F77" s="28">
        <v>0</v>
      </c>
      <c r="G77" s="31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31">
        <v>1</v>
      </c>
      <c r="X77" s="28">
        <v>0</v>
      </c>
      <c r="Y77" s="28">
        <v>0</v>
      </c>
      <c r="Z77" s="28">
        <v>0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32">
        <v>0</v>
      </c>
    </row>
    <row r="78" spans="2:33" s="2" customFormat="1" ht="25.5" x14ac:dyDescent="0.25">
      <c r="B78" s="29" t="s">
        <v>78</v>
      </c>
      <c r="C78" s="27" t="s">
        <v>91</v>
      </c>
      <c r="D78" s="27" t="s">
        <v>92</v>
      </c>
      <c r="E78" s="27" t="s">
        <v>134</v>
      </c>
      <c r="F78" s="28">
        <v>0</v>
      </c>
      <c r="G78" s="31">
        <v>1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B78" s="35">
        <v>5</v>
      </c>
      <c r="AC78" s="35">
        <v>2</v>
      </c>
      <c r="AD78" s="35">
        <v>1</v>
      </c>
      <c r="AE78" s="35">
        <v>1</v>
      </c>
      <c r="AF78" s="32">
        <v>0</v>
      </c>
      <c r="AG78" s="35">
        <v>1</v>
      </c>
    </row>
    <row r="79" spans="2:33" s="2" customFormat="1" ht="25.5" x14ac:dyDescent="0.25">
      <c r="B79" s="30" t="s">
        <v>78</v>
      </c>
      <c r="C79" s="27" t="s">
        <v>93</v>
      </c>
      <c r="D79" s="27" t="s">
        <v>167</v>
      </c>
      <c r="E79" s="27" t="s">
        <v>135</v>
      </c>
      <c r="F79" s="28">
        <v>0</v>
      </c>
      <c r="G79" s="36">
        <v>3</v>
      </c>
      <c r="H79" s="31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B79" s="35">
        <v>19</v>
      </c>
      <c r="AC79" s="32">
        <v>0</v>
      </c>
      <c r="AD79" s="35">
        <v>1</v>
      </c>
      <c r="AE79" s="35">
        <v>1</v>
      </c>
      <c r="AF79" s="32">
        <v>0</v>
      </c>
      <c r="AG79" s="35">
        <v>2</v>
      </c>
    </row>
    <row r="80" spans="2:33" s="2" customFormat="1" ht="25.5" x14ac:dyDescent="0.25">
      <c r="B80" s="30" t="s">
        <v>78</v>
      </c>
      <c r="C80" s="27" t="s">
        <v>93</v>
      </c>
      <c r="D80" s="27" t="s">
        <v>194</v>
      </c>
      <c r="E80" s="27" t="s">
        <v>136</v>
      </c>
      <c r="F80" s="28">
        <v>0</v>
      </c>
      <c r="G80" s="36">
        <v>2</v>
      </c>
      <c r="H80" s="31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B80" s="35">
        <v>16</v>
      </c>
      <c r="AC80" s="32">
        <v>0</v>
      </c>
      <c r="AD80" s="35">
        <v>1</v>
      </c>
      <c r="AE80" s="35">
        <v>1</v>
      </c>
      <c r="AF80" s="32">
        <v>0</v>
      </c>
      <c r="AG80" s="32">
        <v>0</v>
      </c>
    </row>
    <row r="81" spans="2:33" s="2" customFormat="1" ht="25.5" x14ac:dyDescent="0.25">
      <c r="B81" s="30" t="s">
        <v>78</v>
      </c>
      <c r="C81" s="27" t="s">
        <v>93</v>
      </c>
      <c r="D81" s="27" t="s">
        <v>143</v>
      </c>
      <c r="E81" s="27" t="s">
        <v>122</v>
      </c>
      <c r="F81" s="28">
        <v>0</v>
      </c>
      <c r="G81" s="36">
        <v>3</v>
      </c>
      <c r="H81" s="31">
        <v>0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B81" s="35">
        <v>15</v>
      </c>
      <c r="AC81" s="32">
        <v>0</v>
      </c>
      <c r="AD81" s="35">
        <v>1</v>
      </c>
      <c r="AE81" s="35">
        <v>1</v>
      </c>
      <c r="AF81" s="32">
        <v>0</v>
      </c>
      <c r="AG81" s="35">
        <v>2</v>
      </c>
    </row>
    <row r="82" spans="2:33" s="2" customFormat="1" ht="25.5" x14ac:dyDescent="0.25">
      <c r="B82" s="30" t="s">
        <v>78</v>
      </c>
      <c r="C82" s="27" t="s">
        <v>93</v>
      </c>
      <c r="D82" s="27" t="s">
        <v>94</v>
      </c>
      <c r="E82" s="27" t="s">
        <v>137</v>
      </c>
      <c r="F82" s="28">
        <v>0</v>
      </c>
      <c r="G82" s="36">
        <v>1</v>
      </c>
      <c r="H82" s="31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B82" s="35">
        <v>22</v>
      </c>
      <c r="AC82" s="35">
        <v>4</v>
      </c>
      <c r="AD82" s="35">
        <v>1</v>
      </c>
      <c r="AE82" s="35">
        <v>1</v>
      </c>
      <c r="AF82" s="32">
        <v>0</v>
      </c>
      <c r="AG82" s="35">
        <v>4</v>
      </c>
    </row>
    <row r="83" spans="2:33" s="2" customFormat="1" ht="25.5" x14ac:dyDescent="0.25">
      <c r="B83" s="29" t="s">
        <v>78</v>
      </c>
      <c r="C83" s="27" t="s">
        <v>95</v>
      </c>
      <c r="D83" s="27" t="s">
        <v>193</v>
      </c>
      <c r="E83" s="27" t="s">
        <v>138</v>
      </c>
      <c r="F83" s="28">
        <v>0</v>
      </c>
      <c r="G83" s="31">
        <v>5</v>
      </c>
      <c r="H83" s="31">
        <v>1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B83" s="35">
        <v>8</v>
      </c>
      <c r="AC83" s="35">
        <v>2</v>
      </c>
      <c r="AD83" s="35">
        <v>1</v>
      </c>
      <c r="AE83" s="35">
        <v>1</v>
      </c>
      <c r="AF83" s="32">
        <v>0</v>
      </c>
      <c r="AG83" s="32">
        <v>0</v>
      </c>
    </row>
    <row r="84" spans="2:33" s="2" customFormat="1" ht="25.5" x14ac:dyDescent="0.25">
      <c r="B84" s="29" t="s">
        <v>78</v>
      </c>
      <c r="C84" s="27" t="s">
        <v>95</v>
      </c>
      <c r="D84" s="27" t="s">
        <v>168</v>
      </c>
      <c r="E84" s="27" t="s">
        <v>138</v>
      </c>
      <c r="F84" s="28">
        <v>0</v>
      </c>
      <c r="G84" s="31">
        <v>1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58">
        <f>(AA85/30)*14</f>
        <v>605389088.03834152</v>
      </c>
      <c r="AB84" s="35">
        <v>12</v>
      </c>
      <c r="AC84" s="32">
        <v>0</v>
      </c>
      <c r="AD84" s="35">
        <v>1</v>
      </c>
      <c r="AE84" s="35">
        <v>1</v>
      </c>
      <c r="AF84" s="32">
        <v>0</v>
      </c>
      <c r="AG84" s="32">
        <v>0</v>
      </c>
    </row>
    <row r="85" spans="2:33" s="2" customFormat="1" ht="25.5" x14ac:dyDescent="0.25">
      <c r="B85" s="29" t="s">
        <v>78</v>
      </c>
      <c r="C85" s="27" t="s">
        <v>95</v>
      </c>
      <c r="D85" s="27" t="s">
        <v>139</v>
      </c>
      <c r="E85" s="27" t="s">
        <v>197</v>
      </c>
      <c r="F85" s="28">
        <v>0</v>
      </c>
      <c r="G85" s="31">
        <v>2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58">
        <f>+(F86*F97)+(G86*G97)+(H86*H97)+(L86*L97)+(P86*P97)+(U86*U97)+(W86*W97)</f>
        <v>1297262331.5107317</v>
      </c>
      <c r="AB85" s="32">
        <v>0</v>
      </c>
      <c r="AC85" s="32">
        <v>0</v>
      </c>
      <c r="AD85" s="32">
        <v>0</v>
      </c>
      <c r="AE85" s="32">
        <v>0</v>
      </c>
      <c r="AF85" s="32">
        <v>0</v>
      </c>
      <c r="AG85" s="32">
        <v>0</v>
      </c>
    </row>
    <row r="86" spans="2:33" s="53" customFormat="1" ht="22.5" x14ac:dyDescent="0.25">
      <c r="B86" s="164" t="s">
        <v>96</v>
      </c>
      <c r="C86" s="164"/>
      <c r="D86" s="164"/>
      <c r="E86" s="164"/>
      <c r="F86" s="98">
        <f t="shared" ref="F86:Z86" si="10">SUM(F58:F85)</f>
        <v>3</v>
      </c>
      <c r="G86" s="98">
        <f t="shared" si="10"/>
        <v>62</v>
      </c>
      <c r="H86" s="98">
        <f t="shared" si="10"/>
        <v>2</v>
      </c>
      <c r="I86" s="98">
        <f t="shared" si="10"/>
        <v>0</v>
      </c>
      <c r="J86" s="98">
        <f t="shared" si="10"/>
        <v>0</v>
      </c>
      <c r="K86" s="98">
        <f t="shared" si="10"/>
        <v>0</v>
      </c>
      <c r="L86" s="98">
        <f t="shared" si="10"/>
        <v>1</v>
      </c>
      <c r="M86" s="98">
        <f t="shared" si="10"/>
        <v>0</v>
      </c>
      <c r="N86" s="98">
        <f t="shared" si="10"/>
        <v>0</v>
      </c>
      <c r="O86" s="98">
        <f t="shared" si="10"/>
        <v>0</v>
      </c>
      <c r="P86" s="98">
        <f t="shared" si="10"/>
        <v>2</v>
      </c>
      <c r="Q86" s="98">
        <f t="shared" si="10"/>
        <v>0</v>
      </c>
      <c r="R86" s="98">
        <f t="shared" si="10"/>
        <v>0</v>
      </c>
      <c r="S86" s="98">
        <f t="shared" si="10"/>
        <v>0</v>
      </c>
      <c r="T86" s="98">
        <f t="shared" si="10"/>
        <v>0</v>
      </c>
      <c r="U86" s="98">
        <f t="shared" si="10"/>
        <v>1</v>
      </c>
      <c r="V86" s="98">
        <f t="shared" si="10"/>
        <v>0</v>
      </c>
      <c r="W86" s="98">
        <f t="shared" si="10"/>
        <v>1</v>
      </c>
      <c r="X86" s="98">
        <f t="shared" si="10"/>
        <v>0</v>
      </c>
      <c r="Y86" s="98">
        <f t="shared" si="10"/>
        <v>0</v>
      </c>
      <c r="Z86" s="98">
        <f t="shared" si="10"/>
        <v>0</v>
      </c>
      <c r="AA86" s="121">
        <f>SUM(F86:Z86)</f>
        <v>72</v>
      </c>
      <c r="AB86" s="124">
        <f t="shared" ref="AB86:AG86" si="11">SUM(AB58:AB85)</f>
        <v>377</v>
      </c>
      <c r="AC86" s="124">
        <f t="shared" si="11"/>
        <v>34</v>
      </c>
      <c r="AD86" s="124">
        <f t="shared" si="11"/>
        <v>23</v>
      </c>
      <c r="AE86" s="124">
        <f t="shared" si="11"/>
        <v>23</v>
      </c>
      <c r="AF86" s="124">
        <f t="shared" si="11"/>
        <v>10</v>
      </c>
      <c r="AG86" s="124">
        <f t="shared" si="11"/>
        <v>41</v>
      </c>
    </row>
    <row r="87" spans="2:33" s="54" customFormat="1" ht="19.5" x14ac:dyDescent="0.25">
      <c r="B87" s="55"/>
      <c r="C87" s="55"/>
      <c r="D87" s="55"/>
      <c r="E87" s="55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7"/>
    </row>
    <row r="88" spans="2:33" s="4" customFormat="1" ht="24" x14ac:dyDescent="0.25">
      <c r="B88" s="3"/>
      <c r="C88" s="3"/>
      <c r="D88" s="3"/>
      <c r="E88" s="69" t="s">
        <v>97</v>
      </c>
      <c r="F88" s="66">
        <f t="shared" ref="F88:Z88" si="12">+F12+F18+F33+F49+F57+F86</f>
        <v>9</v>
      </c>
      <c r="G88" s="66">
        <f t="shared" si="12"/>
        <v>172</v>
      </c>
      <c r="H88" s="66">
        <f t="shared" si="12"/>
        <v>6</v>
      </c>
      <c r="I88" s="66">
        <f t="shared" si="12"/>
        <v>0</v>
      </c>
      <c r="J88" s="66">
        <f t="shared" si="12"/>
        <v>0</v>
      </c>
      <c r="K88" s="66">
        <f t="shared" si="12"/>
        <v>0</v>
      </c>
      <c r="L88" s="66">
        <f t="shared" si="12"/>
        <v>2</v>
      </c>
      <c r="M88" s="66">
        <f t="shared" si="12"/>
        <v>1</v>
      </c>
      <c r="N88" s="66">
        <f t="shared" si="12"/>
        <v>0</v>
      </c>
      <c r="O88" s="66">
        <f t="shared" si="12"/>
        <v>0</v>
      </c>
      <c r="P88" s="66">
        <f t="shared" si="12"/>
        <v>6</v>
      </c>
      <c r="Q88" s="66">
        <f t="shared" si="12"/>
        <v>4</v>
      </c>
      <c r="R88" s="66">
        <f t="shared" si="12"/>
        <v>0</v>
      </c>
      <c r="S88" s="66">
        <f t="shared" si="12"/>
        <v>0</v>
      </c>
      <c r="T88" s="66">
        <f t="shared" si="12"/>
        <v>0</v>
      </c>
      <c r="U88" s="66">
        <f t="shared" si="12"/>
        <v>1</v>
      </c>
      <c r="V88" s="66">
        <f t="shared" si="12"/>
        <v>2</v>
      </c>
      <c r="W88" s="66">
        <f t="shared" si="12"/>
        <v>1</v>
      </c>
      <c r="X88" s="66">
        <f t="shared" si="12"/>
        <v>1</v>
      </c>
      <c r="Y88" s="66">
        <f t="shared" si="12"/>
        <v>2</v>
      </c>
      <c r="Z88" s="66">
        <f t="shared" si="12"/>
        <v>0</v>
      </c>
      <c r="AA88" s="51">
        <f>+AA12+AA18+AA33+AA49+AA57+AA86</f>
        <v>207</v>
      </c>
      <c r="AB88" s="125">
        <f t="shared" ref="AB88:AG88" si="13">+AB12+AB18+AB33+AB49+AB57+AB86</f>
        <v>883</v>
      </c>
      <c r="AC88" s="125">
        <f t="shared" si="13"/>
        <v>59</v>
      </c>
      <c r="AD88" s="125">
        <f t="shared" si="13"/>
        <v>61</v>
      </c>
      <c r="AE88" s="125">
        <f t="shared" si="13"/>
        <v>59</v>
      </c>
      <c r="AF88" s="125">
        <f t="shared" si="13"/>
        <v>16</v>
      </c>
      <c r="AG88" s="125">
        <f t="shared" si="13"/>
        <v>94</v>
      </c>
    </row>
    <row r="89" spans="2:33" s="4" customFormat="1" x14ac:dyDescent="0.25">
      <c r="B89" s="3"/>
      <c r="C89" s="5"/>
      <c r="D89" s="5"/>
      <c r="E89" s="65" t="s">
        <v>98</v>
      </c>
      <c r="F89" s="66">
        <v>3</v>
      </c>
      <c r="G89" s="66">
        <v>3</v>
      </c>
      <c r="H89" s="66">
        <v>3</v>
      </c>
      <c r="I89" s="66">
        <v>3</v>
      </c>
      <c r="J89" s="66">
        <v>3</v>
      </c>
      <c r="K89" s="66">
        <v>3</v>
      </c>
      <c r="L89" s="66">
        <v>2</v>
      </c>
      <c r="M89" s="66">
        <v>2</v>
      </c>
      <c r="N89" s="66">
        <v>2</v>
      </c>
      <c r="O89" s="66">
        <v>1.5</v>
      </c>
      <c r="P89" s="67">
        <v>1.5</v>
      </c>
      <c r="Q89" s="67">
        <v>1.5</v>
      </c>
      <c r="R89" s="66">
        <v>1.5</v>
      </c>
      <c r="S89" s="66">
        <v>1.5</v>
      </c>
      <c r="T89" s="66">
        <v>1.5</v>
      </c>
      <c r="U89" s="66">
        <v>1</v>
      </c>
      <c r="V89" s="66">
        <v>1</v>
      </c>
      <c r="W89" s="66">
        <v>1</v>
      </c>
      <c r="X89" s="66">
        <v>1</v>
      </c>
      <c r="Y89" s="66">
        <v>1</v>
      </c>
      <c r="Z89" s="66">
        <v>1</v>
      </c>
      <c r="AA89" s="52"/>
    </row>
    <row r="90" spans="2:33" s="4" customFormat="1" ht="22.5" x14ac:dyDescent="0.25">
      <c r="B90" s="3"/>
      <c r="C90" s="5"/>
      <c r="D90" s="5"/>
      <c r="E90" s="65" t="s">
        <v>99</v>
      </c>
      <c r="F90" s="66">
        <f>F89*F88</f>
        <v>27</v>
      </c>
      <c r="G90" s="66">
        <f t="shared" ref="G90:Z90" si="14">G89*G88</f>
        <v>516</v>
      </c>
      <c r="H90" s="66">
        <f t="shared" si="14"/>
        <v>18</v>
      </c>
      <c r="I90" s="66">
        <f t="shared" si="14"/>
        <v>0</v>
      </c>
      <c r="J90" s="66">
        <f t="shared" si="14"/>
        <v>0</v>
      </c>
      <c r="K90" s="66">
        <f t="shared" si="14"/>
        <v>0</v>
      </c>
      <c r="L90" s="66">
        <f t="shared" si="14"/>
        <v>4</v>
      </c>
      <c r="M90" s="66">
        <f t="shared" si="14"/>
        <v>2</v>
      </c>
      <c r="N90" s="66">
        <f t="shared" si="14"/>
        <v>0</v>
      </c>
      <c r="O90" s="66">
        <f t="shared" si="14"/>
        <v>0</v>
      </c>
      <c r="P90" s="67">
        <f t="shared" si="14"/>
        <v>9</v>
      </c>
      <c r="Q90" s="67">
        <f t="shared" si="14"/>
        <v>6</v>
      </c>
      <c r="R90" s="67">
        <f t="shared" si="14"/>
        <v>0</v>
      </c>
      <c r="S90" s="67">
        <f t="shared" si="14"/>
        <v>0</v>
      </c>
      <c r="T90" s="67">
        <f t="shared" si="14"/>
        <v>0</v>
      </c>
      <c r="U90" s="66">
        <f t="shared" si="14"/>
        <v>1</v>
      </c>
      <c r="V90" s="66">
        <f t="shared" si="14"/>
        <v>2</v>
      </c>
      <c r="W90" s="66">
        <f t="shared" si="14"/>
        <v>1</v>
      </c>
      <c r="X90" s="66">
        <f t="shared" si="14"/>
        <v>1</v>
      </c>
      <c r="Y90" s="66">
        <f t="shared" si="14"/>
        <v>2</v>
      </c>
      <c r="Z90" s="66">
        <f t="shared" si="14"/>
        <v>0</v>
      </c>
      <c r="AA90" s="159">
        <f>+AA9+AA16+AA30+AA46+AA54+AA84</f>
        <v>1704599444.4552069</v>
      </c>
    </row>
    <row r="91" spans="2:33" s="4" customFormat="1" ht="24" x14ac:dyDescent="0.25">
      <c r="B91" s="3"/>
      <c r="C91" s="5"/>
      <c r="D91" s="5"/>
      <c r="E91" s="65" t="s">
        <v>100</v>
      </c>
      <c r="F91" s="68">
        <v>3000</v>
      </c>
      <c r="G91" s="68">
        <f>$F$91</f>
        <v>3000</v>
      </c>
      <c r="H91" s="68">
        <f t="shared" ref="H91:Z91" si="15">$F$91</f>
        <v>3000</v>
      </c>
      <c r="I91" s="68">
        <f t="shared" si="15"/>
        <v>3000</v>
      </c>
      <c r="J91" s="68">
        <f t="shared" si="15"/>
        <v>3000</v>
      </c>
      <c r="K91" s="68">
        <f t="shared" si="15"/>
        <v>3000</v>
      </c>
      <c r="L91" s="68">
        <f t="shared" si="15"/>
        <v>3000</v>
      </c>
      <c r="M91" s="68">
        <f t="shared" si="15"/>
        <v>3000</v>
      </c>
      <c r="N91" s="68">
        <f t="shared" si="15"/>
        <v>3000</v>
      </c>
      <c r="O91" s="68">
        <f t="shared" si="15"/>
        <v>3000</v>
      </c>
      <c r="P91" s="68">
        <f t="shared" si="15"/>
        <v>3000</v>
      </c>
      <c r="Q91" s="68">
        <f t="shared" si="15"/>
        <v>3000</v>
      </c>
      <c r="R91" s="68">
        <f t="shared" si="15"/>
        <v>3000</v>
      </c>
      <c r="S91" s="68">
        <f t="shared" si="15"/>
        <v>3000</v>
      </c>
      <c r="T91" s="68">
        <f t="shared" si="15"/>
        <v>3000</v>
      </c>
      <c r="U91" s="68">
        <f t="shared" si="15"/>
        <v>3000</v>
      </c>
      <c r="V91" s="68">
        <f t="shared" si="15"/>
        <v>3000</v>
      </c>
      <c r="W91" s="68">
        <f t="shared" si="15"/>
        <v>3000</v>
      </c>
      <c r="X91" s="68">
        <f t="shared" si="15"/>
        <v>3000</v>
      </c>
      <c r="Y91" s="68">
        <f>$F$91</f>
        <v>3000</v>
      </c>
      <c r="Z91" s="68">
        <f t="shared" si="15"/>
        <v>3000</v>
      </c>
      <c r="AA91" s="6"/>
    </row>
    <row r="92" spans="2:33" s="4" customFormat="1" ht="24" x14ac:dyDescent="0.25">
      <c r="B92" s="3"/>
      <c r="C92" s="5"/>
      <c r="D92" s="5"/>
      <c r="E92" s="65" t="s">
        <v>101</v>
      </c>
      <c r="F92" s="68">
        <f>F91*F90</f>
        <v>81000</v>
      </c>
      <c r="G92" s="68">
        <f t="shared" ref="G92:Z92" si="16">G91*G90</f>
        <v>1548000</v>
      </c>
      <c r="H92" s="68">
        <f t="shared" si="16"/>
        <v>54000</v>
      </c>
      <c r="I92" s="68">
        <f t="shared" si="16"/>
        <v>0</v>
      </c>
      <c r="J92" s="68">
        <f t="shared" si="16"/>
        <v>0</v>
      </c>
      <c r="K92" s="68">
        <f t="shared" si="16"/>
        <v>0</v>
      </c>
      <c r="L92" s="68">
        <f t="shared" si="16"/>
        <v>12000</v>
      </c>
      <c r="M92" s="68">
        <f t="shared" si="16"/>
        <v>6000</v>
      </c>
      <c r="N92" s="68">
        <f t="shared" si="16"/>
        <v>0</v>
      </c>
      <c r="O92" s="68">
        <f t="shared" si="16"/>
        <v>0</v>
      </c>
      <c r="P92" s="68">
        <f t="shared" si="16"/>
        <v>27000</v>
      </c>
      <c r="Q92" s="68">
        <f t="shared" si="16"/>
        <v>18000</v>
      </c>
      <c r="R92" s="68">
        <f t="shared" si="16"/>
        <v>0</v>
      </c>
      <c r="S92" s="68">
        <f t="shared" si="16"/>
        <v>0</v>
      </c>
      <c r="T92" s="68">
        <f t="shared" si="16"/>
        <v>0</v>
      </c>
      <c r="U92" s="68">
        <f t="shared" si="16"/>
        <v>3000</v>
      </c>
      <c r="V92" s="68">
        <f t="shared" si="16"/>
        <v>6000</v>
      </c>
      <c r="W92" s="68">
        <f t="shared" si="16"/>
        <v>3000</v>
      </c>
      <c r="X92" s="68">
        <f t="shared" si="16"/>
        <v>3000</v>
      </c>
      <c r="Y92" s="68">
        <f t="shared" si="16"/>
        <v>6000</v>
      </c>
      <c r="Z92" s="68">
        <f t="shared" si="16"/>
        <v>0</v>
      </c>
      <c r="AA92" s="126"/>
    </row>
    <row r="93" spans="2:33" x14ac:dyDescent="0.25">
      <c r="F93" s="127"/>
      <c r="G93" s="127"/>
      <c r="H93" s="127"/>
      <c r="I93" s="127"/>
      <c r="J93" s="127"/>
      <c r="K93" s="127"/>
      <c r="L93" s="127"/>
      <c r="M93" s="127"/>
      <c r="O93" s="128" t="s">
        <v>207</v>
      </c>
    </row>
    <row r="94" spans="2:33" ht="16.5" x14ac:dyDescent="0.25">
      <c r="C94" s="12"/>
      <c r="D94" s="12"/>
      <c r="E94" s="129" t="s">
        <v>102</v>
      </c>
      <c r="F94" s="130">
        <f>((9.77*1750905)+(500*3))</f>
        <v>17107841.849999998</v>
      </c>
      <c r="G94" s="130">
        <f>((9.77*1750905)+(500*3))</f>
        <v>17107841.849999998</v>
      </c>
      <c r="H94" s="130">
        <f>((9.77*1750905)+(500*3))</f>
        <v>17107841.849999998</v>
      </c>
      <c r="I94" s="130">
        <f>(9.29*1423500+(500*3))</f>
        <v>13225814.999999998</v>
      </c>
      <c r="J94" s="130">
        <f>(9.29*1423500+(500*3))/30*20</f>
        <v>8817209.9999999981</v>
      </c>
      <c r="K94" s="130">
        <f>(9.29*1423500+(500*3))/30*24</f>
        <v>10580651.999999998</v>
      </c>
      <c r="L94" s="130">
        <f>(((9.77*1750905+(500*3))*47.59%)+((9.77*1750905+(500*3))*52.41%/11*3))</f>
        <v>10586954.64012</v>
      </c>
      <c r="M94" s="130">
        <f>(((9.77*1750905+(500*3))*47.59%)+((9.77*1750905+(500*3))*52.41%/11*3))/30*20</f>
        <v>7057969.7600799995</v>
      </c>
      <c r="N94" s="130">
        <f>(((9.29*1423500+(500*3))*55.97%)+((9.29*1423500+(500*3))*44.03%/9*1))/30*24</f>
        <v>6439619.9327999987</v>
      </c>
      <c r="O94" s="130">
        <f>((9.77*1750905+(500*3))*47.59%/13*12)</f>
        <v>7515343.3259215374</v>
      </c>
      <c r="P94" s="130">
        <f>((9.77*1750905+(500*3))*47.59%/13*12)/30*20</f>
        <v>5010228.8839476919</v>
      </c>
      <c r="Q94" s="130">
        <f>((9.77*1750905+(500*3))*47.59%/13*12)/30*24</f>
        <v>6012274.6607372295</v>
      </c>
      <c r="R94" s="130">
        <f>(((9.29*1423500+(500*3))*55.97%/15*3)+((9.29*1423500+(500*3))*44.03%/9*9))</f>
        <v>7303824.0755999992</v>
      </c>
      <c r="S94" s="130">
        <f>((((9.29*1423500+(500*3))*55.97%/15*3)+((9.29*1423500+(500*3))*44.03%/9*9))/30)*24</f>
        <v>5843059.2604799997</v>
      </c>
      <c r="T94" s="130">
        <f>(((9.29*1423500+(500*3))*55.97%/15*3)+((9.29*1423500+(500*3))*44.03%/9*9))</f>
        <v>7303824.0755999992</v>
      </c>
      <c r="U94" s="130">
        <f>((9.77*1750905+(500*3))*52.41%/11*8)</f>
        <v>6520887.20988</v>
      </c>
      <c r="V94" s="130">
        <f>((9.77*1750905+(500*3))*52.41%/11*8)</f>
        <v>6520887.20988</v>
      </c>
      <c r="W94" s="130">
        <f>(9.77*1750905+(500*3))*52.41%/11*8/30*20</f>
        <v>4347258.13992</v>
      </c>
      <c r="X94" s="130">
        <f>(9.77*1750905+(500*3))*47.59%/13*8/30*24</f>
        <v>4008183.1071581533</v>
      </c>
      <c r="Y94" s="130">
        <f>(9.77*1750905+(500*3))*47.59%/13*8/30*20</f>
        <v>3340152.5892984611</v>
      </c>
      <c r="Z94" s="130">
        <f>((9.77*1750905+(500*3))*47.59%/13*8)</f>
        <v>5010228.8839476919</v>
      </c>
      <c r="AB94" s="130">
        <v>11227</v>
      </c>
      <c r="AC94" s="130">
        <v>43635</v>
      </c>
      <c r="AD94" s="130">
        <v>55898</v>
      </c>
      <c r="AE94" s="130">
        <v>40588</v>
      </c>
      <c r="AF94" s="130">
        <v>127990</v>
      </c>
      <c r="AG94" s="130">
        <v>43069</v>
      </c>
    </row>
    <row r="95" spans="2:33" ht="16.5" x14ac:dyDescent="0.25">
      <c r="C95" s="12"/>
      <c r="D95" s="12"/>
      <c r="E95" s="129" t="s">
        <v>103</v>
      </c>
      <c r="F95" s="130">
        <f>+F94*0.1</f>
        <v>1710784.1849999998</v>
      </c>
      <c r="G95" s="130">
        <f>+G94*0.08</f>
        <v>1368627.3479999998</v>
      </c>
      <c r="H95" s="130">
        <f t="shared" ref="H95:Z95" si="17">+H94*0.08</f>
        <v>1368627.3479999998</v>
      </c>
      <c r="I95" s="130">
        <f>+I94*0.11</f>
        <v>1454839.65</v>
      </c>
      <c r="J95" s="130">
        <f t="shared" si="17"/>
        <v>705376.79999999981</v>
      </c>
      <c r="K95" s="130">
        <f t="shared" si="17"/>
        <v>846452.15999999992</v>
      </c>
      <c r="L95" s="130">
        <f t="shared" si="17"/>
        <v>846956.37120960001</v>
      </c>
      <c r="M95" s="130">
        <f t="shared" si="17"/>
        <v>564637.58080639993</v>
      </c>
      <c r="N95" s="130">
        <f t="shared" si="17"/>
        <v>515169.5946239999</v>
      </c>
      <c r="O95" s="130">
        <f t="shared" si="17"/>
        <v>601227.46607372304</v>
      </c>
      <c r="P95" s="130">
        <f t="shared" si="17"/>
        <v>400818.31071581534</v>
      </c>
      <c r="Q95" s="130">
        <f t="shared" si="17"/>
        <v>480981.97285897838</v>
      </c>
      <c r="R95" s="130">
        <f t="shared" si="17"/>
        <v>584305.92604799999</v>
      </c>
      <c r="S95" s="130">
        <f t="shared" si="17"/>
        <v>467444.74083839997</v>
      </c>
      <c r="T95" s="130">
        <f>+T94*0.1</f>
        <v>730382.40755999996</v>
      </c>
      <c r="U95" s="130">
        <f>+U94*0.1</f>
        <v>652088.72098800004</v>
      </c>
      <c r="V95" s="130">
        <f t="shared" si="17"/>
        <v>521670.97679039999</v>
      </c>
      <c r="W95" s="130">
        <f t="shared" si="17"/>
        <v>347780.65119360003</v>
      </c>
      <c r="X95" s="130">
        <f t="shared" si="17"/>
        <v>320654.64857265225</v>
      </c>
      <c r="Y95" s="130">
        <f t="shared" si="17"/>
        <v>267212.20714387688</v>
      </c>
      <c r="Z95" s="130">
        <f t="shared" si="17"/>
        <v>400818.31071581534</v>
      </c>
      <c r="AB95" s="130">
        <v>0</v>
      </c>
      <c r="AC95" s="130">
        <v>0</v>
      </c>
      <c r="AD95" s="130">
        <v>0</v>
      </c>
      <c r="AE95" s="130">
        <v>0</v>
      </c>
      <c r="AF95" s="130">
        <v>0</v>
      </c>
      <c r="AG95" s="130">
        <v>0</v>
      </c>
    </row>
    <row r="96" spans="2:33" ht="16.5" x14ac:dyDescent="0.25">
      <c r="C96" s="12"/>
      <c r="D96" s="12"/>
      <c r="E96" s="129" t="s">
        <v>104</v>
      </c>
      <c r="F96" s="130">
        <f>+(F94+F95)*0.019</f>
        <v>357553.89466499991</v>
      </c>
      <c r="G96" s="130">
        <f t="shared" ref="G96:Z96" si="18">+(G94+G95)*0.019</f>
        <v>351052.91476199997</v>
      </c>
      <c r="H96" s="130">
        <f t="shared" si="18"/>
        <v>351052.91476199997</v>
      </c>
      <c r="I96" s="130">
        <f t="shared" si="18"/>
        <v>278932.43834999995</v>
      </c>
      <c r="J96" s="130">
        <f t="shared" si="18"/>
        <v>180929.14919999993</v>
      </c>
      <c r="K96" s="130">
        <f t="shared" si="18"/>
        <v>217114.97903999998</v>
      </c>
      <c r="L96" s="130">
        <f>+(L94+L95)*0.019</f>
        <v>217244.30921526236</v>
      </c>
      <c r="M96" s="130">
        <f t="shared" si="18"/>
        <v>144829.53947684157</v>
      </c>
      <c r="N96" s="130">
        <f t="shared" si="18"/>
        <v>132141.00102105597</v>
      </c>
      <c r="O96" s="130">
        <f t="shared" si="18"/>
        <v>154214.84504790994</v>
      </c>
      <c r="P96" s="130">
        <f t="shared" si="18"/>
        <v>102809.89669860662</v>
      </c>
      <c r="Q96" s="130">
        <f t="shared" si="18"/>
        <v>123371.87603832794</v>
      </c>
      <c r="R96" s="130">
        <f t="shared" si="18"/>
        <v>149874.470031312</v>
      </c>
      <c r="S96" s="130">
        <f t="shared" si="18"/>
        <v>119899.5760250496</v>
      </c>
      <c r="T96" s="130">
        <f t="shared" si="18"/>
        <v>152649.92318003997</v>
      </c>
      <c r="U96" s="130">
        <f t="shared" si="18"/>
        <v>136286.542686492</v>
      </c>
      <c r="V96" s="130">
        <f t="shared" si="18"/>
        <v>133808.60554673761</v>
      </c>
      <c r="W96" s="130">
        <f t="shared" si="18"/>
        <v>89205.737031158395</v>
      </c>
      <c r="X96" s="130">
        <f t="shared" si="18"/>
        <v>82247.917358885315</v>
      </c>
      <c r="Y96" s="130">
        <f t="shared" si="18"/>
        <v>68539.93113240441</v>
      </c>
      <c r="Z96" s="130">
        <f t="shared" si="18"/>
        <v>102809.89669860662</v>
      </c>
      <c r="AB96" s="130">
        <f>+AB94*0.19</f>
        <v>2133.13</v>
      </c>
      <c r="AC96" s="130">
        <f t="shared" ref="AC96:AG96" si="19">+AC94*0.19</f>
        <v>8290.65</v>
      </c>
      <c r="AD96" s="130">
        <f t="shared" si="19"/>
        <v>10620.62</v>
      </c>
      <c r="AE96" s="130">
        <f t="shared" si="19"/>
        <v>7711.72</v>
      </c>
      <c r="AF96" s="130">
        <f t="shared" si="19"/>
        <v>24318.1</v>
      </c>
      <c r="AG96" s="130">
        <f t="shared" si="19"/>
        <v>8183.11</v>
      </c>
    </row>
    <row r="97" spans="2:33" ht="16.5" x14ac:dyDescent="0.25">
      <c r="C97" s="12"/>
      <c r="D97" s="12"/>
      <c r="E97" s="131" t="s">
        <v>105</v>
      </c>
      <c r="F97" s="132">
        <f>+F94+F95+F96</f>
        <v>19176179.929664996</v>
      </c>
      <c r="G97" s="132">
        <f>+G94+G95+G96</f>
        <v>18827522.112762</v>
      </c>
      <c r="H97" s="132">
        <f t="shared" ref="H97:Z97" si="20">+H94+H95+H96</f>
        <v>18827522.112762</v>
      </c>
      <c r="I97" s="132">
        <f t="shared" si="20"/>
        <v>14959587.088349998</v>
      </c>
      <c r="J97" s="132">
        <f t="shared" si="20"/>
        <v>9703515.9491999969</v>
      </c>
      <c r="K97" s="132">
        <f t="shared" si="20"/>
        <v>11644219.139039999</v>
      </c>
      <c r="L97" s="132">
        <f>+L94+L95+L96</f>
        <v>11651155.320544861</v>
      </c>
      <c r="M97" s="132">
        <f>+M94+M95+M96</f>
        <v>7767436.8803632408</v>
      </c>
      <c r="N97" s="132">
        <f t="shared" si="20"/>
        <v>7086930.5284450538</v>
      </c>
      <c r="O97" s="132">
        <f>+O94+O95+O96</f>
        <v>8270785.6370431706</v>
      </c>
      <c r="P97" s="132">
        <f t="shared" si="20"/>
        <v>5513857.0913621131</v>
      </c>
      <c r="Q97" s="132">
        <f t="shared" si="20"/>
        <v>6616628.5096345358</v>
      </c>
      <c r="R97" s="132">
        <f t="shared" si="20"/>
        <v>8038004.4716793112</v>
      </c>
      <c r="S97" s="132">
        <f t="shared" si="20"/>
        <v>6430403.577343449</v>
      </c>
      <c r="T97" s="132">
        <f t="shared" si="20"/>
        <v>8186856.4063400393</v>
      </c>
      <c r="U97" s="132">
        <f t="shared" si="20"/>
        <v>7309262.473554492</v>
      </c>
      <c r="V97" s="132">
        <f t="shared" si="20"/>
        <v>7176366.7922171382</v>
      </c>
      <c r="W97" s="132">
        <f t="shared" si="20"/>
        <v>4784244.5281447582</v>
      </c>
      <c r="X97" s="132">
        <f t="shared" si="20"/>
        <v>4411085.6730896914</v>
      </c>
      <c r="Y97" s="132">
        <f t="shared" si="20"/>
        <v>3675904.7275747424</v>
      </c>
      <c r="Z97" s="132">
        <f t="shared" si="20"/>
        <v>5513857.0913621131</v>
      </c>
      <c r="AA97" s="10"/>
      <c r="AB97" s="133">
        <f>+AB94+AB96</f>
        <v>13360.130000000001</v>
      </c>
      <c r="AC97" s="133">
        <f t="shared" ref="AC97:AG97" si="21">+AC94+AC96</f>
        <v>51925.65</v>
      </c>
      <c r="AD97" s="133">
        <f t="shared" si="21"/>
        <v>66518.62</v>
      </c>
      <c r="AE97" s="133">
        <f t="shared" si="21"/>
        <v>48299.72</v>
      </c>
      <c r="AF97" s="133">
        <f t="shared" si="21"/>
        <v>152308.1</v>
      </c>
      <c r="AG97" s="133">
        <f t="shared" si="21"/>
        <v>51252.11</v>
      </c>
    </row>
    <row r="98" spans="2:33" ht="16.5" x14ac:dyDescent="0.25">
      <c r="C98" s="12"/>
      <c r="D98" s="12"/>
      <c r="E98" s="113"/>
      <c r="F98" s="114"/>
      <c r="G98" s="114"/>
      <c r="H98" s="114"/>
      <c r="I98" s="114"/>
      <c r="J98" s="114"/>
      <c r="K98" s="114"/>
      <c r="L98" s="114"/>
      <c r="M98" s="114"/>
      <c r="N98" s="114"/>
      <c r="O98" s="114"/>
      <c r="P98" s="114"/>
      <c r="Q98" s="114"/>
      <c r="R98" s="114"/>
      <c r="S98" s="114"/>
      <c r="T98" s="114"/>
      <c r="U98" s="114"/>
      <c r="V98" s="114"/>
      <c r="W98" s="114"/>
      <c r="X98" s="114"/>
      <c r="Y98" s="114"/>
      <c r="Z98" s="114"/>
      <c r="AB98" s="115"/>
      <c r="AC98" s="115"/>
      <c r="AD98" s="115"/>
      <c r="AE98" s="115"/>
      <c r="AF98" s="115"/>
      <c r="AG98" s="115"/>
    </row>
    <row r="99" spans="2:33" ht="16.5" x14ac:dyDescent="0.25">
      <c r="C99" s="12"/>
      <c r="D99" s="12"/>
      <c r="E99" s="113"/>
      <c r="F99" s="114"/>
      <c r="G99" s="114"/>
      <c r="H99" s="114"/>
      <c r="I99" s="114"/>
      <c r="J99" s="114"/>
      <c r="K99" s="114"/>
      <c r="L99" s="114"/>
      <c r="M99" s="114"/>
      <c r="N99" s="114"/>
      <c r="O99" s="114"/>
      <c r="P99" s="114"/>
      <c r="Q99" s="114"/>
      <c r="R99" s="114"/>
      <c r="S99" s="114"/>
      <c r="T99" s="114"/>
      <c r="U99" s="114"/>
      <c r="V99" s="114"/>
      <c r="W99" s="114"/>
      <c r="X99" s="114"/>
      <c r="Y99" s="114"/>
      <c r="Z99" s="114"/>
      <c r="AB99" s="115"/>
      <c r="AC99" s="115"/>
      <c r="AD99" s="115"/>
      <c r="AE99" s="115"/>
      <c r="AF99" s="115"/>
      <c r="AG99" s="115"/>
    </row>
    <row r="101" spans="2:33" ht="16.5" x14ac:dyDescent="0.25">
      <c r="C101" s="12"/>
      <c r="D101" s="12"/>
      <c r="E101" s="134" t="s">
        <v>106</v>
      </c>
      <c r="F101" s="135">
        <f>(F88)*(F$94+F$95)</f>
        <v>169367634.31499997</v>
      </c>
      <c r="G101" s="135">
        <f>+(G88)*(G$94+G$95)</f>
        <v>3177952702.0559998</v>
      </c>
      <c r="H101" s="135">
        <f>+H88*(H$94+H$95)</f>
        <v>110858815.18799999</v>
      </c>
      <c r="I101" s="135">
        <f t="shared" ref="I101:Z101" si="22">+I88*(I$94+I$95)</f>
        <v>0</v>
      </c>
      <c r="J101" s="135">
        <f t="shared" si="22"/>
        <v>0</v>
      </c>
      <c r="K101" s="135">
        <f t="shared" si="22"/>
        <v>0</v>
      </c>
      <c r="L101" s="135">
        <f t="shared" si="22"/>
        <v>22867822.022659197</v>
      </c>
      <c r="M101" s="135">
        <f>+M88*(M$94+M$95)</f>
        <v>7622607.3408863991</v>
      </c>
      <c r="N101" s="135">
        <f t="shared" si="22"/>
        <v>0</v>
      </c>
      <c r="O101" s="135">
        <f t="shared" si="22"/>
        <v>0</v>
      </c>
      <c r="P101" s="135">
        <f t="shared" si="22"/>
        <v>32466283.167981043</v>
      </c>
      <c r="Q101" s="135">
        <f t="shared" si="22"/>
        <v>25973026.534384832</v>
      </c>
      <c r="R101" s="135">
        <f t="shared" si="22"/>
        <v>0</v>
      </c>
      <c r="S101" s="135">
        <f t="shared" si="22"/>
        <v>0</v>
      </c>
      <c r="T101" s="135">
        <f t="shared" si="22"/>
        <v>0</v>
      </c>
      <c r="U101" s="135">
        <f t="shared" si="22"/>
        <v>7172975.9308679998</v>
      </c>
      <c r="V101" s="135">
        <f t="shared" si="22"/>
        <v>14085116.3733408</v>
      </c>
      <c r="W101" s="135">
        <f t="shared" si="22"/>
        <v>4695038.7911136001</v>
      </c>
      <c r="X101" s="135">
        <f t="shared" si="22"/>
        <v>4328837.7557308059</v>
      </c>
      <c r="Y101" s="135">
        <f t="shared" si="22"/>
        <v>7214729.5928846756</v>
      </c>
      <c r="Z101" s="135">
        <f t="shared" si="22"/>
        <v>0</v>
      </c>
      <c r="AA101" s="10"/>
      <c r="AB101" s="136">
        <f>+AB88*(AB94+AB95)</f>
        <v>9913441</v>
      </c>
      <c r="AC101" s="136">
        <f>+AC88*(AC94+AC95)</f>
        <v>2574465</v>
      </c>
      <c r="AD101" s="136">
        <f>+AD88*(AD94+AD95)</f>
        <v>3409778</v>
      </c>
      <c r="AE101" s="136">
        <f t="shared" ref="AE101:AG101" si="23">+AE88*(AE94+AE95)</f>
        <v>2394692</v>
      </c>
      <c r="AF101" s="136">
        <f t="shared" si="23"/>
        <v>2047840</v>
      </c>
      <c r="AG101" s="136">
        <f t="shared" si="23"/>
        <v>4048486</v>
      </c>
    </row>
    <row r="102" spans="2:33" s="12" customFormat="1" ht="16.5" x14ac:dyDescent="0.25">
      <c r="E102" s="134" t="s">
        <v>107</v>
      </c>
      <c r="F102" s="135">
        <f>(F$96*F88)</f>
        <v>3217985.0519849993</v>
      </c>
      <c r="G102" s="135">
        <f>(G$96)*(G88)</f>
        <v>60381101.339063995</v>
      </c>
      <c r="H102" s="135">
        <f t="shared" ref="H102:Z102" si="24">(H$96*H88)</f>
        <v>2106317.4885719996</v>
      </c>
      <c r="I102" s="135">
        <f t="shared" si="24"/>
        <v>0</v>
      </c>
      <c r="J102" s="135">
        <f t="shared" si="24"/>
        <v>0</v>
      </c>
      <c r="K102" s="135">
        <f t="shared" si="24"/>
        <v>0</v>
      </c>
      <c r="L102" s="135">
        <f t="shared" si="24"/>
        <v>434488.61843052472</v>
      </c>
      <c r="M102" s="135">
        <f t="shared" si="24"/>
        <v>144829.53947684157</v>
      </c>
      <c r="N102" s="135">
        <f t="shared" si="24"/>
        <v>0</v>
      </c>
      <c r="O102" s="135">
        <f t="shared" si="24"/>
        <v>0</v>
      </c>
      <c r="P102" s="135">
        <f t="shared" si="24"/>
        <v>616859.38019163976</v>
      </c>
      <c r="Q102" s="135">
        <f t="shared" si="24"/>
        <v>493487.50415331178</v>
      </c>
      <c r="R102" s="135">
        <f t="shared" si="24"/>
        <v>0</v>
      </c>
      <c r="S102" s="135">
        <f t="shared" si="24"/>
        <v>0</v>
      </c>
      <c r="T102" s="135">
        <f t="shared" si="24"/>
        <v>0</v>
      </c>
      <c r="U102" s="135">
        <f t="shared" si="24"/>
        <v>136286.542686492</v>
      </c>
      <c r="V102" s="135">
        <f t="shared" si="24"/>
        <v>267617.21109347523</v>
      </c>
      <c r="W102" s="135">
        <f t="shared" si="24"/>
        <v>89205.737031158395</v>
      </c>
      <c r="X102" s="135">
        <f t="shared" si="24"/>
        <v>82247.917358885315</v>
      </c>
      <c r="Y102" s="135">
        <f t="shared" si="24"/>
        <v>137079.86226480882</v>
      </c>
      <c r="Z102" s="135">
        <f t="shared" si="24"/>
        <v>0</v>
      </c>
      <c r="AA102" s="11"/>
      <c r="AB102" s="136">
        <f t="shared" ref="AB102:AG102" si="25">+ROUND(((AB12+AB18+AB33+AB49+AB57+AB86)*AB96),0)</f>
        <v>1883554</v>
      </c>
      <c r="AC102" s="136">
        <f t="shared" si="25"/>
        <v>489148</v>
      </c>
      <c r="AD102" s="136">
        <f t="shared" si="25"/>
        <v>647858</v>
      </c>
      <c r="AE102" s="136">
        <f t="shared" si="25"/>
        <v>454991</v>
      </c>
      <c r="AF102" s="136">
        <f t="shared" si="25"/>
        <v>389090</v>
      </c>
      <c r="AG102" s="136">
        <f t="shared" si="25"/>
        <v>769212</v>
      </c>
    </row>
    <row r="103" spans="2:33" s="12" customFormat="1" ht="16.5" x14ac:dyDescent="0.25">
      <c r="B103" s="46"/>
      <c r="C103" s="46"/>
      <c r="D103" s="46"/>
      <c r="E103" s="137" t="s">
        <v>200</v>
      </c>
      <c r="F103" s="133">
        <f>+F101+F102</f>
        <v>172585619.36698496</v>
      </c>
      <c r="G103" s="133">
        <f>+G101+G102</f>
        <v>3238333803.3950639</v>
      </c>
      <c r="H103" s="133">
        <f t="shared" ref="H103:Y103" si="26">+H101+H102</f>
        <v>112965132.676572</v>
      </c>
      <c r="I103" s="133">
        <f t="shared" si="26"/>
        <v>0</v>
      </c>
      <c r="J103" s="133">
        <f t="shared" si="26"/>
        <v>0</v>
      </c>
      <c r="K103" s="133">
        <f t="shared" si="26"/>
        <v>0</v>
      </c>
      <c r="L103" s="133">
        <f t="shared" si="26"/>
        <v>23302310.641089723</v>
      </c>
      <c r="M103" s="133">
        <f>+M101+M102</f>
        <v>7767436.8803632408</v>
      </c>
      <c r="N103" s="133">
        <f t="shared" si="26"/>
        <v>0</v>
      </c>
      <c r="O103" s="133">
        <f t="shared" si="26"/>
        <v>0</v>
      </c>
      <c r="P103" s="133">
        <f t="shared" si="26"/>
        <v>33083142.548172683</v>
      </c>
      <c r="Q103" s="133">
        <f t="shared" si="26"/>
        <v>26466514.038538143</v>
      </c>
      <c r="R103" s="133">
        <f t="shared" si="26"/>
        <v>0</v>
      </c>
      <c r="S103" s="133">
        <f t="shared" si="26"/>
        <v>0</v>
      </c>
      <c r="T103" s="133">
        <f t="shared" si="26"/>
        <v>0</v>
      </c>
      <c r="U103" s="133">
        <f t="shared" si="26"/>
        <v>7309262.473554492</v>
      </c>
      <c r="V103" s="133">
        <f t="shared" si="26"/>
        <v>14352733.584434276</v>
      </c>
      <c r="W103" s="133">
        <f t="shared" si="26"/>
        <v>4784244.5281447582</v>
      </c>
      <c r="X103" s="133">
        <f t="shared" si="26"/>
        <v>4411085.6730896914</v>
      </c>
      <c r="Y103" s="133">
        <f t="shared" si="26"/>
        <v>7351809.4551494848</v>
      </c>
      <c r="Z103" s="133">
        <f>+Z101+Z102</f>
        <v>0</v>
      </c>
      <c r="AA103" s="11"/>
      <c r="AB103" s="138">
        <f>+AB101+AB102</f>
        <v>11796995</v>
      </c>
      <c r="AC103" s="138">
        <f t="shared" ref="AC103:AG103" si="27">+AC101+AC102</f>
        <v>3063613</v>
      </c>
      <c r="AD103" s="138">
        <f t="shared" si="27"/>
        <v>4057636</v>
      </c>
      <c r="AE103" s="138">
        <f t="shared" si="27"/>
        <v>2849683</v>
      </c>
      <c r="AF103" s="138">
        <f t="shared" si="27"/>
        <v>2436930</v>
      </c>
      <c r="AG103" s="138">
        <f t="shared" si="27"/>
        <v>4817698</v>
      </c>
    </row>
    <row r="104" spans="2:33" x14ac:dyDescent="0.25">
      <c r="D104" s="13"/>
      <c r="E104" s="14"/>
      <c r="F104" s="15"/>
      <c r="G104" s="16"/>
      <c r="H104" s="16"/>
      <c r="I104" s="16"/>
      <c r="J104" s="16"/>
      <c r="K104" s="16"/>
      <c r="L104" s="16"/>
      <c r="M104" s="16"/>
      <c r="O104" s="139"/>
      <c r="W104" s="140"/>
      <c r="Y104" s="71"/>
      <c r="Z104" s="72"/>
      <c r="AA104" s="19"/>
      <c r="AB104" s="71"/>
      <c r="AC104" s="72"/>
    </row>
    <row r="105" spans="2:33" ht="31.5" x14ac:dyDescent="0.25">
      <c r="C105" s="141" t="s">
        <v>108</v>
      </c>
      <c r="D105" s="141" t="s">
        <v>109</v>
      </c>
      <c r="G105" s="142"/>
      <c r="AA105" s="143"/>
    </row>
    <row r="106" spans="2:33" ht="15.75" x14ac:dyDescent="0.25">
      <c r="C106" s="63">
        <f>+AA90</f>
        <v>1704599444.4552069</v>
      </c>
      <c r="D106" s="63">
        <f>SUM(AB103:AG103)/30*14</f>
        <v>13543859</v>
      </c>
      <c r="E106" s="108"/>
      <c r="H106" s="142"/>
      <c r="AA106" s="144"/>
    </row>
    <row r="108" spans="2:33" ht="38.25" x14ac:dyDescent="0.25">
      <c r="C108" s="145" t="s">
        <v>0</v>
      </c>
      <c r="D108" s="145" t="s">
        <v>202</v>
      </c>
      <c r="E108" s="145" t="s">
        <v>111</v>
      </c>
      <c r="F108" s="145" t="s">
        <v>204</v>
      </c>
      <c r="G108" s="145" t="s">
        <v>112</v>
      </c>
      <c r="H108" s="142">
        <f>+H105*H106</f>
        <v>0</v>
      </c>
      <c r="K108" s="16"/>
      <c r="L108" s="16"/>
      <c r="Y108" s="7"/>
    </row>
    <row r="109" spans="2:33" x14ac:dyDescent="0.25">
      <c r="C109" s="59" t="s">
        <v>113</v>
      </c>
      <c r="D109" s="146">
        <f>(AA11/30)*14</f>
        <v>151423515.40868703</v>
      </c>
      <c r="E109" s="146">
        <f>+(((AB12*AB97)+(AC12*AC97)+(AD12*AD97)+(AE12*AE97)+(AF12*AF97)+(AG12*AG97)))/((30))*14</f>
        <v>1221608.9386666669</v>
      </c>
      <c r="F109" s="147">
        <f t="shared" ref="F109:F114" si="28">+E109*0.051</f>
        <v>62302.055872000004</v>
      </c>
      <c r="G109" s="146">
        <f t="shared" ref="G109:G114" si="29">SUM(D109:F109)</f>
        <v>152707426.40322569</v>
      </c>
      <c r="K109" s="148"/>
      <c r="L109" s="16"/>
      <c r="Y109" s="7"/>
    </row>
    <row r="110" spans="2:33" x14ac:dyDescent="0.25">
      <c r="C110" s="59" t="s">
        <v>42</v>
      </c>
      <c r="D110" s="146">
        <f>(AA17/30)*14</f>
        <v>164467653.71823359</v>
      </c>
      <c r="E110" s="146">
        <f>+(((AB18*AB97)+(AC18*AC97)+(AD18*AD97)+(AE18*AE97)+(AF18*AF97)+(AG18*AG97)))/((30))*14</f>
        <v>1083271.5180000002</v>
      </c>
      <c r="F110" s="147">
        <f t="shared" si="28"/>
        <v>55246.847418000005</v>
      </c>
      <c r="G110" s="146">
        <f t="shared" si="29"/>
        <v>165606172.0836516</v>
      </c>
      <c r="K110" s="148"/>
      <c r="L110" s="149"/>
      <c r="Y110" s="7"/>
    </row>
    <row r="111" spans="2:33" x14ac:dyDescent="0.25">
      <c r="C111" s="59" t="s">
        <v>50</v>
      </c>
      <c r="D111" s="146">
        <f>(AA32/30)*14</f>
        <v>229178915.76091686</v>
      </c>
      <c r="E111" s="146">
        <f>+(((AB33*AB97)+(AC33*AC97)+(AD33*AD97)+(AE33*AE97)+(AF33*AF97)+(AG33*AG97)))/((30))*14</f>
        <v>1963334.9073333335</v>
      </c>
      <c r="F111" s="147">
        <f t="shared" si="28"/>
        <v>100130.08027400001</v>
      </c>
      <c r="G111" s="146">
        <f t="shared" si="29"/>
        <v>231242380.74852419</v>
      </c>
      <c r="K111" s="148"/>
      <c r="L111" s="149"/>
      <c r="Y111" s="7"/>
    </row>
    <row r="112" spans="2:33" x14ac:dyDescent="0.25">
      <c r="C112" s="59" t="s">
        <v>114</v>
      </c>
      <c r="D112" s="146">
        <f>(AA48/30)*14</f>
        <v>274049385.03649741</v>
      </c>
      <c r="E112" s="146">
        <f>+(((AB49*AB97)+(AC49*AC97)+(AD49*AD97)+(AE49*AE97)+(AF49*AF97)+(AG49*AG97)))/((30))*14</f>
        <v>1729763.3733333333</v>
      </c>
      <c r="F112" s="147">
        <f t="shared" si="28"/>
        <v>88217.932039999985</v>
      </c>
      <c r="G112" s="146">
        <f t="shared" si="29"/>
        <v>275867366.34187073</v>
      </c>
      <c r="K112" s="148"/>
      <c r="L112" s="16"/>
      <c r="Y112" s="7"/>
    </row>
    <row r="113" spans="3:25" x14ac:dyDescent="0.25">
      <c r="C113" s="59" t="s">
        <v>75</v>
      </c>
      <c r="D113" s="146">
        <f>(AA56/30)*14</f>
        <v>280090886.49253052</v>
      </c>
      <c r="E113" s="146">
        <f>+(((AB57*AB97)+(AC57*AC97)+(AD57*AD97)+(AE57*AE97)+(AF57*AF97)+(AG57*AG97)))/((30))*14</f>
        <v>1447722.9013333335</v>
      </c>
      <c r="F113" s="147">
        <f t="shared" si="28"/>
        <v>73833.867968000006</v>
      </c>
      <c r="G113" s="146">
        <f t="shared" si="29"/>
        <v>281612443.26183188</v>
      </c>
      <c r="K113" s="148"/>
      <c r="L113" s="16"/>
      <c r="Y113" s="7"/>
    </row>
    <row r="114" spans="3:25" x14ac:dyDescent="0.25">
      <c r="C114" s="59" t="s">
        <v>78</v>
      </c>
      <c r="D114" s="146">
        <f>(AA85/30)*14</f>
        <v>605389088.03834152</v>
      </c>
      <c r="E114" s="146">
        <f>+(((AB86*AB97)+(AC86*AC97)+(AD86*AD97)+(AE86*AE97)+(AF86*AF97)+(AG86*AG97)))/((30))*14</f>
        <v>6098157.5386666674</v>
      </c>
      <c r="F114" s="147">
        <f t="shared" si="28"/>
        <v>311006.03447200003</v>
      </c>
      <c r="G114" s="146">
        <f t="shared" si="29"/>
        <v>611798251.61148024</v>
      </c>
      <c r="K114" s="148"/>
      <c r="L114" s="16"/>
      <c r="Y114" s="7"/>
    </row>
    <row r="115" spans="3:25" ht="15.75" x14ac:dyDescent="0.25">
      <c r="C115" s="64" t="s">
        <v>115</v>
      </c>
      <c r="D115" s="150">
        <f>SUM(D109:D114)</f>
        <v>1704599444.4552069</v>
      </c>
      <c r="E115" s="150">
        <f>SUM(E109:E114)</f>
        <v>13543859.177333334</v>
      </c>
      <c r="F115" s="150">
        <f>SUM(F109:F114)</f>
        <v>690736.81804400007</v>
      </c>
      <c r="G115" s="150">
        <f>SUM(G109:G114)</f>
        <v>1718834040.4505844</v>
      </c>
      <c r="K115" s="16"/>
      <c r="L115" s="16"/>
      <c r="Y115" s="7"/>
    </row>
    <row r="117" spans="3:25" x14ac:dyDescent="0.25">
      <c r="D117" s="151"/>
    </row>
    <row r="118" spans="3:25" x14ac:dyDescent="0.25">
      <c r="D118" s="151"/>
      <c r="G118" s="142"/>
    </row>
    <row r="119" spans="3:25" x14ac:dyDescent="0.25">
      <c r="D119" s="151"/>
      <c r="E119" s="151"/>
      <c r="G119" s="158"/>
      <c r="M119" s="142"/>
      <c r="Y119" s="128">
        <f>+D119+E119</f>
        <v>0</v>
      </c>
    </row>
    <row r="120" spans="3:25" x14ac:dyDescent="0.25">
      <c r="D120" s="152"/>
      <c r="E120" s="152"/>
      <c r="Y120" s="128">
        <f>+D120+E120</f>
        <v>0</v>
      </c>
    </row>
    <row r="121" spans="3:25" x14ac:dyDescent="0.25">
      <c r="D121" s="106"/>
      <c r="E121" s="152"/>
    </row>
    <row r="122" spans="3:25" x14ac:dyDescent="0.25">
      <c r="D122" s="106"/>
      <c r="E122" s="151"/>
      <c r="G122" s="160"/>
    </row>
    <row r="123" spans="3:25" x14ac:dyDescent="0.25">
      <c r="D123" s="151"/>
      <c r="E123" s="151"/>
      <c r="G123" s="163"/>
    </row>
    <row r="124" spans="3:25" x14ac:dyDescent="0.25">
      <c r="D124" s="152"/>
      <c r="E124" s="152"/>
    </row>
    <row r="125" spans="3:25" x14ac:dyDescent="0.25">
      <c r="D125" s="151"/>
      <c r="E125" s="151"/>
    </row>
    <row r="126" spans="3:25" x14ac:dyDescent="0.25">
      <c r="D126" s="151"/>
      <c r="E126" s="151"/>
    </row>
    <row r="127" spans="3:25" x14ac:dyDescent="0.25">
      <c r="D127" s="106"/>
      <c r="E127" s="106"/>
      <c r="Y127" s="128">
        <f>+D127+E127</f>
        <v>0</v>
      </c>
    </row>
  </sheetData>
  <mergeCells count="6">
    <mergeCell ref="B86:E86"/>
    <mergeCell ref="B12:E12"/>
    <mergeCell ref="B18:E18"/>
    <mergeCell ref="B33:E33"/>
    <mergeCell ref="B49:E49"/>
    <mergeCell ref="B57:E57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19-31 MAYO</vt:lpstr>
      <vt:lpstr>JUNIO</vt:lpstr>
      <vt:lpstr>1-14 JULIO</vt:lpstr>
      <vt:lpstr>15-31 JULIO</vt:lpstr>
      <vt:lpstr>AGOSTO</vt:lpstr>
      <vt:lpstr>SEPTIEMBRE</vt:lpstr>
      <vt:lpstr>OCTUBRE</vt:lpstr>
      <vt:lpstr>NOVIEMBRE</vt:lpstr>
      <vt:lpstr>1-24 DICIEMBRE</vt:lpstr>
      <vt:lpstr>25-31 DICIEMBRE</vt:lpstr>
      <vt:lpstr>ENERO 2026</vt:lpstr>
      <vt:lpstr>FEBRERO </vt:lpstr>
      <vt:lpstr>MARZO </vt:lpstr>
      <vt:lpstr>ABRIL 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Servicios Generales</dc:creator>
  <cp:keywords/>
  <dc:description/>
  <cp:lastModifiedBy>Karenth Danitza Pan</cp:lastModifiedBy>
  <cp:revision/>
  <cp:lastPrinted>2025-07-08T17:17:04Z</cp:lastPrinted>
  <dcterms:created xsi:type="dcterms:W3CDTF">2025-02-19T17:03:33Z</dcterms:created>
  <dcterms:modified xsi:type="dcterms:W3CDTF">2026-03-27T23:30:42Z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2025-02-19T21:22:40Z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64a57cf8-e724-45e4-8509-fcefe90117df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