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juank\OneDrive\Escritorio\VIGILANCIA 2026\"/>
    </mc:Choice>
  </mc:AlternateContent>
  <xr:revisionPtr revIDLastSave="0" documentId="13_ncr:1_{0A6C7A44-3245-482B-B8BE-327638D58AFD}" xr6:coauthVersionLast="47" xr6:coauthVersionMax="47" xr10:uidLastSave="{00000000-0000-0000-0000-000000000000}"/>
  <bookViews>
    <workbookView xWindow="-110" yWindow="-110" windowWidth="19420" windowHeight="10300" xr2:uid="{2A6C07E1-15CB-4828-860C-32B3B416E58F}"/>
  </bookViews>
  <sheets>
    <sheet name="ENERO 2026" sheetId="1" r:id="rId1"/>
    <sheet name="MEDIOS TECNOLOGICO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6" i="1" l="1"/>
  <c r="C125" i="1"/>
  <c r="E121" i="1"/>
  <c r="F98" i="2"/>
  <c r="J97" i="2"/>
  <c r="I97" i="2"/>
  <c r="H97" i="2"/>
  <c r="G97" i="2"/>
  <c r="F97" i="2"/>
  <c r="E97" i="2"/>
  <c r="K70" i="2"/>
  <c r="K69" i="2"/>
  <c r="J66" i="2"/>
  <c r="I66" i="2"/>
  <c r="H66" i="2"/>
  <c r="G66" i="2"/>
  <c r="F66" i="2"/>
  <c r="E66" i="2"/>
  <c r="K64" i="2"/>
  <c r="K63" i="2"/>
  <c r="J57" i="2"/>
  <c r="I57" i="2"/>
  <c r="H57" i="2"/>
  <c r="G57" i="2"/>
  <c r="F57" i="2"/>
  <c r="E57" i="2"/>
  <c r="J44" i="2"/>
  <c r="I44" i="2"/>
  <c r="H44" i="2"/>
  <c r="G44" i="2"/>
  <c r="F44" i="2"/>
  <c r="E44" i="2"/>
  <c r="J23" i="2"/>
  <c r="I23" i="2"/>
  <c r="H23" i="2"/>
  <c r="G23" i="2"/>
  <c r="F23" i="2"/>
  <c r="E23" i="2"/>
  <c r="J11" i="2"/>
  <c r="J98" i="2" s="1"/>
  <c r="J99" i="2" s="1"/>
  <c r="I11" i="2"/>
  <c r="I98" i="2" s="1"/>
  <c r="I99" i="2" s="1"/>
  <c r="H11" i="2"/>
  <c r="H98" i="2" s="1"/>
  <c r="H99" i="2" s="1"/>
  <c r="G11" i="2"/>
  <c r="G98" i="2" s="1"/>
  <c r="G99" i="2" s="1"/>
  <c r="F11" i="2"/>
  <c r="E11" i="2"/>
  <c r="E98" i="2" s="1"/>
  <c r="I5" i="2"/>
  <c r="H5" i="2"/>
  <c r="G5" i="2"/>
  <c r="J3" i="2"/>
  <c r="J5" i="2" s="1"/>
  <c r="I3" i="2"/>
  <c r="H3" i="2"/>
  <c r="G3" i="2"/>
  <c r="F3" i="2"/>
  <c r="F5" i="2" s="1"/>
  <c r="E3" i="2"/>
  <c r="E5" i="2" s="1"/>
  <c r="E99" i="2" l="1"/>
  <c r="K98" i="2"/>
  <c r="F99" i="2"/>
  <c r="K99" i="2" l="1"/>
  <c r="I120" i="1" l="1"/>
  <c r="J120" i="1" s="1"/>
  <c r="K120" i="1" s="1"/>
  <c r="L120" i="1" s="1"/>
  <c r="M120" i="1" s="1"/>
  <c r="N120" i="1" s="1"/>
  <c r="F93" i="1"/>
  <c r="G93" i="1"/>
  <c r="O120" i="1" l="1"/>
  <c r="C119" i="1" l="1"/>
  <c r="O121" i="1"/>
  <c r="O124" i="1" l="1"/>
  <c r="O93" i="1"/>
  <c r="C122" i="1"/>
  <c r="AA93" i="1"/>
  <c r="Z93" i="1"/>
  <c r="Y93" i="1"/>
  <c r="X93" i="1"/>
  <c r="W93" i="1"/>
  <c r="V93" i="1"/>
  <c r="U93" i="1"/>
  <c r="T93" i="1"/>
  <c r="S93" i="1"/>
  <c r="R93" i="1"/>
  <c r="Q93" i="1"/>
  <c r="P93" i="1"/>
  <c r="N93" i="1"/>
  <c r="M93" i="1"/>
  <c r="L93" i="1"/>
  <c r="K93" i="1"/>
  <c r="J93" i="1"/>
  <c r="H93" i="1"/>
  <c r="AB92" i="1"/>
  <c r="AB91" i="1"/>
  <c r="AB90" i="1"/>
  <c r="AB89" i="1"/>
  <c r="AB88" i="1"/>
  <c r="AB87" i="1"/>
  <c r="AB86" i="1"/>
  <c r="AB85" i="1"/>
  <c r="AB84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A1" i="1"/>
  <c r="Z1" i="1"/>
  <c r="Y1" i="1"/>
  <c r="X1" i="1"/>
  <c r="W1" i="1"/>
  <c r="V1" i="1"/>
  <c r="U1" i="1"/>
  <c r="T1" i="1"/>
  <c r="T2" i="1" s="1"/>
  <c r="S1" i="1"/>
  <c r="R1" i="1"/>
  <c r="Q1" i="1"/>
  <c r="P1" i="1"/>
  <c r="O1" i="1"/>
  <c r="N1" i="1"/>
  <c r="M1" i="1"/>
  <c r="L1" i="1"/>
  <c r="K1" i="1"/>
  <c r="J1" i="1"/>
  <c r="H1" i="1"/>
  <c r="G1" i="1"/>
  <c r="G2" i="1" s="1"/>
  <c r="F1" i="1"/>
  <c r="Z96" i="1" l="1"/>
  <c r="Y96" i="1"/>
  <c r="T96" i="1"/>
  <c r="AB93" i="1"/>
  <c r="F96" i="1"/>
  <c r="O96" i="1"/>
  <c r="G97" i="1"/>
  <c r="K96" i="1"/>
  <c r="L96" i="1"/>
  <c r="P96" i="1"/>
  <c r="T97" i="1"/>
  <c r="W96" i="1"/>
  <c r="X96" i="1"/>
  <c r="G96" i="1"/>
  <c r="S96" i="1"/>
  <c r="AA96" i="1"/>
  <c r="L2" i="1"/>
  <c r="L97" i="1" s="1"/>
  <c r="P2" i="1"/>
  <c r="P97" i="1" s="1"/>
  <c r="X2" i="1"/>
  <c r="X97" i="1" s="1"/>
  <c r="H2" i="1"/>
  <c r="H97" i="1" s="1"/>
  <c r="Q2" i="1"/>
  <c r="Q97" i="1" s="1"/>
  <c r="Y2" i="1"/>
  <c r="Y97" i="1" s="1"/>
  <c r="T3" i="1"/>
  <c r="T98" i="1" s="1"/>
  <c r="H96" i="1"/>
  <c r="Q96" i="1"/>
  <c r="J2" i="1"/>
  <c r="N2" i="1"/>
  <c r="N3" i="1" s="1"/>
  <c r="N98" i="1" s="1"/>
  <c r="R2" i="1"/>
  <c r="R3" i="1" s="1"/>
  <c r="R98" i="1" s="1"/>
  <c r="V2" i="1"/>
  <c r="Z2" i="1"/>
  <c r="J96" i="1"/>
  <c r="N96" i="1"/>
  <c r="R96" i="1"/>
  <c r="V96" i="1"/>
  <c r="M2" i="1"/>
  <c r="M97" i="1" s="1"/>
  <c r="U2" i="1"/>
  <c r="U97" i="1" s="1"/>
  <c r="G3" i="1"/>
  <c r="G98" i="1" s="1"/>
  <c r="M96" i="1"/>
  <c r="U96" i="1"/>
  <c r="F2" i="1"/>
  <c r="K2" i="1"/>
  <c r="O2" i="1"/>
  <c r="S2" i="1"/>
  <c r="W2" i="1"/>
  <c r="AA2" i="1"/>
  <c r="T99" i="1" l="1"/>
  <c r="L3" i="1"/>
  <c r="L98" i="1" s="1"/>
  <c r="L99" i="1" s="1"/>
  <c r="AB2" i="1"/>
  <c r="F3" i="1"/>
  <c r="G99" i="1"/>
  <c r="X3" i="1"/>
  <c r="X98" i="1" s="1"/>
  <c r="X99" i="1" s="1"/>
  <c r="P3" i="1"/>
  <c r="P98" i="1" s="1"/>
  <c r="P99" i="1" s="1"/>
  <c r="T4" i="1"/>
  <c r="Q3" i="1"/>
  <c r="Q98" i="1" s="1"/>
  <c r="Q99" i="1" s="1"/>
  <c r="H3" i="1"/>
  <c r="H98" i="1" s="1"/>
  <c r="H99" i="1" s="1"/>
  <c r="AA97" i="1"/>
  <c r="AA3" i="1"/>
  <c r="AA98" i="1" s="1"/>
  <c r="K97" i="1"/>
  <c r="K3" i="1"/>
  <c r="K98" i="1" s="1"/>
  <c r="U3" i="1"/>
  <c r="U98" i="1" s="1"/>
  <c r="U99" i="1" s="1"/>
  <c r="Z97" i="1"/>
  <c r="J97" i="1"/>
  <c r="W3" i="1"/>
  <c r="W98" i="1" s="1"/>
  <c r="W97" i="1"/>
  <c r="W4" i="1"/>
  <c r="F98" i="1"/>
  <c r="F97" i="1"/>
  <c r="F4" i="1"/>
  <c r="V97" i="1"/>
  <c r="S97" i="1"/>
  <c r="S3" i="1"/>
  <c r="S98" i="1" s="1"/>
  <c r="M3" i="1"/>
  <c r="R97" i="1"/>
  <c r="R99" i="1" s="1"/>
  <c r="R4" i="1"/>
  <c r="Z3" i="1"/>
  <c r="Z98" i="1" s="1"/>
  <c r="J3" i="1"/>
  <c r="J98" i="1" s="1"/>
  <c r="L4" i="1"/>
  <c r="O3" i="1"/>
  <c r="O98" i="1" s="1"/>
  <c r="O97" i="1"/>
  <c r="Y3" i="1"/>
  <c r="Y98" i="1" s="1"/>
  <c r="Y99" i="1" s="1"/>
  <c r="N97" i="1"/>
  <c r="N99" i="1" s="1"/>
  <c r="N4" i="1"/>
  <c r="V3" i="1"/>
  <c r="V98" i="1" s="1"/>
  <c r="G4" i="1"/>
  <c r="AB96" i="1"/>
  <c r="Y4" i="1" l="1"/>
  <c r="O4" i="1"/>
  <c r="O99" i="1"/>
  <c r="Q4" i="1"/>
  <c r="AB3" i="1"/>
  <c r="J99" i="1"/>
  <c r="Z4" i="1"/>
  <c r="X4" i="1"/>
  <c r="P4" i="1"/>
  <c r="Z99" i="1"/>
  <c r="V99" i="1"/>
  <c r="W99" i="1"/>
  <c r="K4" i="1"/>
  <c r="U4" i="1"/>
  <c r="H4" i="1"/>
  <c r="M98" i="1"/>
  <c r="M99" i="1" s="1"/>
  <c r="M4" i="1"/>
  <c r="S99" i="1"/>
  <c r="V4" i="1"/>
  <c r="AB97" i="1"/>
  <c r="F99" i="1"/>
  <c r="AA99" i="1"/>
  <c r="S4" i="1"/>
  <c r="AB98" i="1"/>
  <c r="J4" i="1"/>
  <c r="K99" i="1"/>
  <c r="AA4" i="1"/>
  <c r="AB99" i="1" l="1"/>
  <c r="Y102" i="1" s="1"/>
  <c r="V10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tc={9BE570E1-8418-4A73-8481-9E513FBE0C44}</author>
    <author>tc={E4DB00D5-C96E-49E9-BE9D-5CD833E72677}</author>
    <author>tc={6DFE4C50-7623-4AB7-A0E8-A9845874017E}</author>
    <author>tc={FE3B111A-7B5B-426E-A2E3-3AECF206B5CF}</author>
    <author>tc={5602D0AE-03FF-4B03-A1EA-E4D83306EC3A}</author>
  </authors>
  <commentList>
    <comment ref="G39" authorId="0" shapeId="0" xr:uid="{9BE570E1-8418-4A73-8481-9E513FBE0C44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inicia el 1 de diciembre</t>
        </r>
      </text>
    </comment>
    <comment ref="Q41" authorId="1" shapeId="0" xr:uid="{E4DB00D5-C96E-49E9-BE9D-5CD833E72677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Inicia el 1 de Noviembre reemplaza el serv 8 horas</t>
        </r>
      </text>
    </comment>
    <comment ref="Z41" authorId="2" shapeId="0" xr:uid="{6DFE4C50-7623-4AB7-A0E8-A9845874017E}">
      <text>
        <r>
          <rPr>
            <sz val="11"/>
            <color theme="1"/>
            <rFont val="Aptos Narrow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presto hasta el 31 de octubre </t>
        </r>
      </text>
    </comment>
    <comment ref="N46" authorId="3" shapeId="0" xr:uid="{FE3B111A-7B5B-426E-A2E3-3AECF206B5CF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Inicia el 1 de Noviembre- reemplazo al serv 8 H L-V</t>
        </r>
      </text>
    </comment>
    <comment ref="Z46" authorId="4" shapeId="0" xr:uid="{5602D0AE-03FF-4B03-A1EA-E4D83306EC3A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presto hasta el 31 de octubre</t>
        </r>
      </text>
    </comment>
  </commentList>
</comments>
</file>

<file path=xl/sharedStrings.xml><?xml version="1.0" encoding="utf-8"?>
<sst xmlns="http://schemas.openxmlformats.org/spreadsheetml/2006/main" count="850" uniqueCount="232">
  <si>
    <t>ZONA 4 2025 Version 15 Mayo 2025 9:00 Am</t>
  </si>
  <si>
    <t xml:space="preserve">TARIFAS </t>
  </si>
  <si>
    <t>AYS</t>
  </si>
  <si>
    <t>IVA</t>
  </si>
  <si>
    <t>TOTAL</t>
  </si>
  <si>
    <t>REGIONAL</t>
  </si>
  <si>
    <t>CENTRO</t>
  </si>
  <si>
    <t xml:space="preserve">DIRECCIÓN </t>
  </si>
  <si>
    <t>MUNICIPIO</t>
  </si>
  <si>
    <t>Integrante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</si>
  <si>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</si>
  <si>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</si>
  <si>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</si>
  <si>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</si>
  <si>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</si>
  <si>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</si>
  <si>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(13 HORAS DIURNAS Y 3 HORAS NOCTURNAS) TODOS LOS DÍAS SIN ARMA</t>
  </si>
  <si>
    <t>PUESTO 16 HORAS (13 HORAS DIURNAS Y 3 HORAS NOCTURNAS) LUNES A VIERNES NO INCLUYE FESTIVOS SIN ARMA</t>
  </si>
  <si>
    <t>PUESTO 16 HORAS (13 HORAS DIURNAS Y 3 HORAS NOCTURNAS)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</si>
  <si>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</si>
  <si>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</si>
  <si>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</si>
  <si>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(11 HORAS NOCTURNAS Y 1 HORA DIURNA) TODOS LOS DIAS SIN ARMA</t>
  </si>
  <si>
    <t>PUESTO 12 HORAS (11 HORAS NOCTURNAS Y 1 HORA DIURNA) LUNES A SABADO  SIN ARMA</t>
  </si>
  <si>
    <t>PUESTO 12 HORAS (11 HORAS NOCTURNAS Y 1 HORA DIURNA) TODOS LOS DIAS CON ARMA</t>
  </si>
  <si>
    <t>PUESTO 8 HORAS NOCTURNAS TODOS LOS DÍAS CON ARMA</t>
  </si>
  <si>
    <t>PUESTO 8 HORAS NOCTURNAS TODOS LOS DÍAS SIN ARMA</t>
  </si>
  <si>
    <t>PUESTO 8 HORAS NOCTURNAS LUNES A VIERNES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</si>
  <si>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</si>
  <si>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</si>
  <si>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</si>
  <si>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>Columna1</t>
  </si>
  <si>
    <t>Valle</t>
  </si>
  <si>
    <t>Centro Náutico Pesquero de Buenaventura</t>
  </si>
  <si>
    <t>SEDE PRINCIPAL CNP Av. Simón Bolívar Km 5, 
1.entrada principal
1 en entrada 2 parqueadero.
1 en entrada 3 frente al mar.</t>
  </si>
  <si>
    <t xml:space="preserve">Buenaventura </t>
  </si>
  <si>
    <t>Sersecol</t>
  </si>
  <si>
    <t>Instituto Educativa Gerardo Valencia Cano (ITI)</t>
  </si>
  <si>
    <t>.Marina del Sol (M.A.R 10) Embarcaciones Menores Sena y Buque Escuela</t>
  </si>
  <si>
    <t xml:space="preserve"> Ambientes de Formación Marina del Sol (M.A.R 10)</t>
  </si>
  <si>
    <t>Refuerzo sede Edificio el Coral – el Naranjito.</t>
  </si>
  <si>
    <t xml:space="preserve">Sede Principal CNP en intermedio hay servicio cancha kilómetro 5 </t>
  </si>
  <si>
    <t xml:space="preserve"> Sede edificio Puerto Príncipe Av. Simón Bolívar</t>
  </si>
  <si>
    <t>Centro Agropecuario de Buga</t>
  </si>
  <si>
    <t>Carretera Central Variante Buga - Tulúa</t>
  </si>
  <si>
    <t>Buga</t>
  </si>
  <si>
    <t>Vigias</t>
  </si>
  <si>
    <t xml:space="preserve">Despacho Dirección (SUPERVISOR) </t>
  </si>
  <si>
    <t xml:space="preserve">Calle 52 No. 2 Bis 15 Barrio Salomia (SUPERVISOR) </t>
  </si>
  <si>
    <t>Cali</t>
  </si>
  <si>
    <t>Andina</t>
  </si>
  <si>
    <t>Centro de Electricidad y Automatización Industria</t>
  </si>
  <si>
    <t>Calle 52 No. 2 Bis 15 COMPLEJO SALOMIA</t>
  </si>
  <si>
    <t>Av 4 n-10n-83 lote centenario</t>
  </si>
  <si>
    <t>Cll 23 No. 2N-38 Av. Del Río APE</t>
  </si>
  <si>
    <t xml:space="preserve">Centro de Electricidad y Automatización Industrial </t>
  </si>
  <si>
    <t>Cra. 24 No. 6A - 24 CEAI - Barrio Alameda</t>
  </si>
  <si>
    <t xml:space="preserve">Centro Nacional de Asistencia Técnica a la Industria ASTIN  </t>
  </si>
  <si>
    <t>Cra 5 No. 11 - 69 Edificio Plaza Caicedo  Tecno parque</t>
  </si>
  <si>
    <t>Centro de la Construcción</t>
  </si>
  <si>
    <t>Calle 34 No. 17 B 23 Barrio Sta Fe</t>
  </si>
  <si>
    <t>Centro de Gestion Tecnololgica de Servicios</t>
  </si>
  <si>
    <t xml:space="preserve">calle 14 N 9 A -45 B. Escuela Gastronomica granada </t>
  </si>
  <si>
    <t xml:space="preserve">Centro de Diseño Tecnológico Industrial </t>
  </si>
  <si>
    <t>Calle 72 K No. 26 J - 97 SUPERVISOR  Aguablanca Barrio El Pondaje</t>
  </si>
  <si>
    <t xml:space="preserve">Cali </t>
  </si>
  <si>
    <t xml:space="preserve">Centro de Diseño Tecnológico Industrial  </t>
  </si>
  <si>
    <t>Calle 72 K No. 26 J - 97 Aguablanca Barrio El Pondaje</t>
  </si>
  <si>
    <t>cra 20 9 E-39 barrio bretaña</t>
  </si>
  <si>
    <t>Huila</t>
  </si>
  <si>
    <t xml:space="preserve">Centro de Formación Agroindusrial La Angostura </t>
  </si>
  <si>
    <t>SUPERVISOR</t>
  </si>
  <si>
    <t>CAMPO ALEGRE</t>
  </si>
  <si>
    <t>Centro de Formación Agroindusrial La Angostura</t>
  </si>
  <si>
    <t>Km 38 vía Campoalegre</t>
  </si>
  <si>
    <t>Centro de Tecnologías Agroindustriales</t>
  </si>
  <si>
    <t>Carrera 9 No. 12 141</t>
  </si>
  <si>
    <t>Cartago</t>
  </si>
  <si>
    <t>Calle 12 No. 2-10</t>
  </si>
  <si>
    <t>Caqueta</t>
  </si>
  <si>
    <t>Despacho Regional APE y Administrativo</t>
  </si>
  <si>
    <t>SEDE ADMINISTRATIVA Y APE CRA 7 No 7-08 brr la estrella</t>
  </si>
  <si>
    <t xml:space="preserve">FLORENCIA </t>
  </si>
  <si>
    <t xml:space="preserve">Centro Tecnológico de la Amazonia,Almacen y Bodega </t>
  </si>
  <si>
    <t>kilometro 3 via al aeropuerto parque industrial Santa Maria</t>
  </si>
  <si>
    <t>Centro Tecnológico de la Amazonia</t>
  </si>
  <si>
    <t>HACIENDA CELAIN KM 10 VIA FLORENCIA -MORELIA</t>
  </si>
  <si>
    <t>Centro Agroempresarial y de Desarrollo Pecuario</t>
  </si>
  <si>
    <t>Cra 10 # 11 - 22</t>
  </si>
  <si>
    <t xml:space="preserve">GARZON </t>
  </si>
  <si>
    <t xml:space="preserve">Centro Agroempresarial y de Desarrollo Pecuario </t>
  </si>
  <si>
    <t>Vereda San José - Granja La Esmeralda Km 4 Via al Batallón</t>
  </si>
  <si>
    <t>calle 9 No 5-40</t>
  </si>
  <si>
    <t>Cauca</t>
  </si>
  <si>
    <t xml:space="preserve">Centro Agropecuario  </t>
  </si>
  <si>
    <t>carrera 6D # 13-15</t>
  </si>
  <si>
    <t>Guapi</t>
  </si>
  <si>
    <t>Nariño</t>
  </si>
  <si>
    <t>Centro Sur Colombiano de Logística Internacional</t>
  </si>
  <si>
    <t xml:space="preserve">Carrera 7 No. 24 A – 48 </t>
  </si>
  <si>
    <t>Ipiales</t>
  </si>
  <si>
    <t>Via aeropuerto Lote San Marcos</t>
  </si>
  <si>
    <t>Calle 24 No. 6-26 Barrio Panam, Edificio Majestic Ipiales</t>
  </si>
  <si>
    <t xml:space="preserve">Centro de Desarrollo Agroempresarial y Turpistico </t>
  </si>
  <si>
    <t>Carrera 7 No 5-67.  Sede 1</t>
  </si>
  <si>
    <t>LA PLATA</t>
  </si>
  <si>
    <t>vereda la mesa predio rural Monserrate de Paicol huila Sede 2</t>
  </si>
  <si>
    <t>Centro Internacional de Producción Limpia - Lope</t>
  </si>
  <si>
    <t>La Capilla</t>
  </si>
  <si>
    <t>La Unión</t>
  </si>
  <si>
    <t>Putumayo</t>
  </si>
  <si>
    <t>Centro Agroforestal y Acuicola Arapaima</t>
  </si>
  <si>
    <t>Calle 10 #3-40 Barrio San Agustin</t>
  </si>
  <si>
    <t>MOCOA</t>
  </si>
  <si>
    <t xml:space="preserve">Despacho Dirección </t>
  </si>
  <si>
    <t>Cra 5 No 16 -16   SUPERVISOR</t>
  </si>
  <si>
    <t xml:space="preserve">NEIVA </t>
  </si>
  <si>
    <t>Cra 5 No 16 - 16 APE</t>
  </si>
  <si>
    <t xml:space="preserve">Centro de la Industria, la Empresa y los Servicios </t>
  </si>
  <si>
    <t>Cra 5 No 16 - 16  Sede Comercio</t>
  </si>
  <si>
    <t>cra 9 No 68-50 SUPERVISOR SEDE INDUSTRIA</t>
  </si>
  <si>
    <t>cra 9 No 68-50 SEDE INDUSTRIA</t>
  </si>
  <si>
    <t>Dgnal 20 # 38 - 16 Sede TECNOPARQUE</t>
  </si>
  <si>
    <t>Calle 40 No. 1-15 Barrio Cándido Leguizamon Sede Tecnoacademia</t>
  </si>
  <si>
    <t>Calle 10 No 3-34 Barrio el Jardin</t>
  </si>
  <si>
    <t xml:space="preserve">ORITO </t>
  </si>
  <si>
    <t>Centro de Biotecnología Industrial</t>
  </si>
  <si>
    <t>Colegio Alfonso lopez</t>
  </si>
  <si>
    <t>Palmira</t>
  </si>
  <si>
    <t>Carrera 30 No 40 25</t>
  </si>
  <si>
    <t>Cra 33 No. 18 A-15 (LOTE)</t>
  </si>
  <si>
    <t>Despacho Dirección</t>
  </si>
  <si>
    <t>Calle 22 11E – 05 Vía Oriente  (Supervisor)</t>
  </si>
  <si>
    <t>Pasto</t>
  </si>
  <si>
    <t>cra 26 No 19-65 archivo</t>
  </si>
  <si>
    <t>pasto</t>
  </si>
  <si>
    <t>Cra 20# 17-25 y 17-35 APE</t>
  </si>
  <si>
    <t>Calle 22 11E – 05 Vía Oriente</t>
  </si>
  <si>
    <t xml:space="preserve">Centro de Gestión y Desarrollo Sostenible Surcolombiano </t>
  </si>
  <si>
    <t>Cra 8 No 7-53  Sede Comercio y Servicios</t>
  </si>
  <si>
    <t xml:space="preserve">PITALITO </t>
  </si>
  <si>
    <t>Centro de Gestión y Desarrollo Sostenible Surcolombiano</t>
  </si>
  <si>
    <t>Cra 8 No 7-53   APE</t>
  </si>
  <si>
    <t>SUPERVISOR Sede YAMBORÓ</t>
  </si>
  <si>
    <t>Area rural a  7 kms de la Sede Principal. Vereda Aguadas Sede YAMBORÓ</t>
  </si>
  <si>
    <t>Calle 4  2-67 comercio (SUPERVISOR)</t>
  </si>
  <si>
    <t>Popayan</t>
  </si>
  <si>
    <t>Centro de Comercio y Servicios</t>
  </si>
  <si>
    <t>Calle 5 # 26-00 parque informatico</t>
  </si>
  <si>
    <t>Calle 4  2-80 comercio</t>
  </si>
  <si>
    <t>Centro de Teleinformatica y Produccion Industrial</t>
  </si>
  <si>
    <t>Archivo calle 4n # 10-35</t>
  </si>
  <si>
    <t xml:space="preserve"> Carrera 2°  No 15N-404 Barrio Pomona / Liceo Alejandro de
Humboldt </t>
  </si>
  <si>
    <t>Carrera 9N  71N-60 granja - SENA Alto de Cauca</t>
  </si>
  <si>
    <t>San Antonio Salon Multiple</t>
  </si>
  <si>
    <t xml:space="preserve">pradera </t>
  </si>
  <si>
    <t>Calle 6 No 3-71</t>
  </si>
  <si>
    <t xml:space="preserve">Calle 12 Carrera 10 Esquina Barrio el progreso  </t>
  </si>
  <si>
    <t>PTO LEGUIZAMO</t>
  </si>
  <si>
    <t>Despacho Direccion</t>
  </si>
  <si>
    <t>Calle 19 A No 23-57 Barrio 20 de julio</t>
  </si>
  <si>
    <t xml:space="preserve">PUERTO ASIS </t>
  </si>
  <si>
    <t>Calle 19 A No 23-57 Barrio 20 de julio CASA BLANCA</t>
  </si>
  <si>
    <t>Km 5 vía Mocoa Pto Asis</t>
  </si>
  <si>
    <t>Parque Principal CALLE 2  12A - 23</t>
  </si>
  <si>
    <t xml:space="preserve">SAN AGUSTIN </t>
  </si>
  <si>
    <t>Centro Tecnologico de la Amazonia</t>
  </si>
  <si>
    <t>Calle 4 No. 3-12 Barrio palmeras</t>
  </si>
  <si>
    <t>SAN VICENTE DEL CAGUAN</t>
  </si>
  <si>
    <t>cra 25 # 19c-20</t>
  </si>
  <si>
    <t>Santander de Quilichao</t>
  </si>
  <si>
    <t>Cra. 11 No. 6-31</t>
  </si>
  <si>
    <t xml:space="preserve">Las Pamas vereda machindinoy </t>
  </si>
  <si>
    <t>SIBUNDOY</t>
  </si>
  <si>
    <t>Centro Latinoamericano de  Especies Menores</t>
  </si>
  <si>
    <t xml:space="preserve">Sede Sagrado Corazon de Jesus </t>
  </si>
  <si>
    <t>TULUA</t>
  </si>
  <si>
    <t>Carretera Central a Tulúa Kilómetro 2</t>
  </si>
  <si>
    <t>Centro Agroindustrial y Pesquero de la Costa Pacifica</t>
  </si>
  <si>
    <t>Inguapí La Chiricana Km 21 via a Pasto</t>
  </si>
  <si>
    <t>Tumaco</t>
  </si>
  <si>
    <t xml:space="preserve">Centro Agroindustrial y Pesquero de la Costa Pacifica </t>
  </si>
  <si>
    <t>Calle del Comercio Muelle</t>
  </si>
  <si>
    <t>calle 24 # 13b- 62  Tecno Academia</t>
  </si>
  <si>
    <t>Tuquerres</t>
  </si>
  <si>
    <t>calle 16 N 2n-20</t>
  </si>
  <si>
    <t>Yumbo</t>
  </si>
  <si>
    <t>Sede Nueva Sena Jamundí</t>
  </si>
  <si>
    <t>Jamundi</t>
  </si>
  <si>
    <t xml:space="preserve">Edificio Nuevo Sede Comercio Sena </t>
  </si>
  <si>
    <t>sede Agropecuario para la sala de Cctv</t>
  </si>
  <si>
    <t>SUBTOTAL</t>
  </si>
  <si>
    <t>PUESTOS</t>
  </si>
  <si>
    <t>CAUCA</t>
  </si>
  <si>
    <t>PUTUMAYO</t>
  </si>
  <si>
    <t>SANIN - VALLE</t>
  </si>
  <si>
    <t>JAMUNDI-VALLE</t>
  </si>
  <si>
    <t>CAQUETA</t>
  </si>
  <si>
    <t>CARTAGO - VALLE</t>
  </si>
  <si>
    <t>NUEVOS PIUESTOS</t>
  </si>
  <si>
    <t>ACTUALMENTE</t>
  </si>
  <si>
    <t>PROYECTADOS</t>
  </si>
  <si>
    <t>VALOR ACTUAL DE 218 PUESTOS * MES</t>
  </si>
  <si>
    <t>INCREMENTO DE PUESTOS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</si>
  <si>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</si>
  <si>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</si>
  <si>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</si>
  <si>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</si>
  <si>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</si>
  <si>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</si>
  <si>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</si>
  <si>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</si>
  <si>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</si>
  <si>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ELEMENTOS TECNOLOGICOS TOTAL</t>
  </si>
  <si>
    <t>Columna2</t>
  </si>
  <si>
    <t>JULIO 2</t>
  </si>
  <si>
    <t>Presupuesto Disponible</t>
  </si>
  <si>
    <t>DIFERENCIA</t>
  </si>
  <si>
    <t>PROYECCION DE 9 MESES CON 220</t>
  </si>
  <si>
    <t>TARIFAS PROMEDIO MEDIOS TECNOLOGICOS</t>
  </si>
  <si>
    <t>Cámara tipo mini domo</t>
  </si>
  <si>
    <t>Cámara PTZ</t>
  </si>
  <si>
    <t>DVR</t>
  </si>
  <si>
    <t>Monitor</t>
  </si>
  <si>
    <t>Control de visitantes y de bienes (para Regionales)</t>
  </si>
  <si>
    <t>Alarma</t>
  </si>
  <si>
    <t>TOTAL COSTOS MEDIOS TECNOLOGICOS MENSUAL</t>
  </si>
  <si>
    <t xml:space="preserve">MEDIOS TECNOLOGICOS 9 MESES </t>
  </si>
  <si>
    <t>MEDIOS TECNOLOGICOS ZONA 4 2025 Version 15 Mayo 2025 9:00 Am</t>
  </si>
  <si>
    <t>TOTAL REGIONAL</t>
  </si>
  <si>
    <t>TOTAL ZONA 4</t>
  </si>
  <si>
    <t>VALOR TOTAL ZONA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</si>
</sst>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_-;\-* #,##0_-;_-* &quot;-&quot;??_-;_-@_-"/>
    <numFmt numFmtId="166" formatCode="_-&quot;$&quot;* #,##0_-;\-&quot;$&quot;* #,##0_-;_-&quot;$&quot;* &quot;-&quot;_-;_-@_-"/>
    <numFmt numFmtId="167" formatCode="_(* #,##0_);_(* \(#,##0\);_(* &quot;-&quot;??_);_(@_)"/>
    <numFmt numFmtId="168" formatCode="_-&quot;$&quot;\ * #,##0_-;\-&quot;$&quot;\ * #,##0_-;_-&quot;$&quot;\ * &quot;-&quot;??_-;_-@_-"/>
  </numFmts>
  <fonts count="2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8"/>
      <name val="Aptos Narrow"/>
      <family val="2"/>
      <scheme val="minor"/>
    </font>
    <font>
      <sz val="10"/>
      <color rgb="FF000000"/>
      <name val="Arial Narrow"/>
      <family val="2"/>
    </font>
    <font>
      <sz val="10"/>
      <color rgb="FF000000"/>
      <name val="Aptos Narrow"/>
      <family val="2"/>
    </font>
    <font>
      <b/>
      <sz val="10"/>
      <color rgb="FF000000"/>
      <name val="Aptos Narrow"/>
      <family val="2"/>
    </font>
    <font>
      <b/>
      <sz val="11"/>
      <color rgb="FFFF0000"/>
      <name val="Arial Narrow"/>
      <family val="2"/>
    </font>
    <font>
      <b/>
      <u val="singleAccounting"/>
      <sz val="11"/>
      <color theme="1"/>
      <name val="Arial Narrow"/>
      <family val="2"/>
    </font>
    <font>
      <b/>
      <u/>
      <sz val="10"/>
      <color rgb="FF000000"/>
      <name val="Aptos Narrow"/>
    </font>
    <font>
      <b/>
      <u/>
      <sz val="11"/>
      <color theme="1"/>
      <name val="Arial Narrow"/>
      <family val="2"/>
    </font>
    <font>
      <sz val="10"/>
      <color rgb="FF000000"/>
      <name val="Aptos Narrow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ptos Narrow"/>
      <family val="2"/>
    </font>
    <font>
      <b/>
      <u val="singleAccounting"/>
      <sz val="10"/>
      <color theme="1"/>
      <name val="Aptos Narrow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0"/>
      <color rgb="FF000000"/>
      <name val="Aptos Narrow"/>
    </font>
    <font>
      <sz val="10"/>
      <name val="Aptos Narrow"/>
      <family val="2"/>
    </font>
    <font>
      <b/>
      <u val="singleAccounting"/>
      <sz val="10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4DCF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49">
    <xf numFmtId="0" fontId="0" fillId="0" borderId="0" xfId="0"/>
    <xf numFmtId="0" fontId="3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" fontId="5" fillId="2" borderId="5" xfId="1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" fontId="5" fillId="2" borderId="6" xfId="1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3" borderId="7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 wrapText="1"/>
    </xf>
    <xf numFmtId="1" fontId="3" fillId="3" borderId="3" xfId="0" applyNumberFormat="1" applyFont="1" applyFill="1" applyBorder="1" applyAlignment="1">
      <alignment horizontal="center" vertical="center" wrapText="1"/>
    </xf>
    <xf numFmtId="1" fontId="3" fillId="3" borderId="3" xfId="0" quotePrefix="1" applyNumberFormat="1" applyFont="1" applyFill="1" applyBorder="1" applyAlignment="1">
      <alignment horizontal="center" vertical="center" wrapText="1"/>
    </xf>
    <xf numFmtId="1" fontId="3" fillId="3" borderId="8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6" fillId="0" borderId="0" xfId="0" applyFont="1"/>
    <xf numFmtId="0" fontId="3" fillId="3" borderId="9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 wrapText="1"/>
    </xf>
    <xf numFmtId="1" fontId="3" fillId="3" borderId="10" xfId="0" applyNumberFormat="1" applyFont="1" applyFill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" fontId="6" fillId="0" borderId="0" xfId="0" applyNumberFormat="1" applyFont="1"/>
    <xf numFmtId="164" fontId="6" fillId="4" borderId="3" xfId="0" applyNumberFormat="1" applyFont="1" applyFill="1" applyBorder="1"/>
    <xf numFmtId="164" fontId="3" fillId="0" borderId="0" xfId="0" applyNumberFormat="1" applyFont="1"/>
    <xf numFmtId="43" fontId="3" fillId="0" borderId="0" xfId="1" applyFont="1"/>
    <xf numFmtId="165" fontId="3" fillId="0" borderId="0" xfId="1" applyNumberFormat="1" applyFont="1"/>
    <xf numFmtId="10" fontId="3" fillId="0" borderId="0" xfId="2" applyNumberFormat="1" applyFont="1"/>
    <xf numFmtId="9" fontId="3" fillId="0" borderId="0" xfId="2" applyFont="1"/>
    <xf numFmtId="164" fontId="3" fillId="0" borderId="0" xfId="2" applyNumberFormat="1" applyFont="1"/>
    <xf numFmtId="0" fontId="3" fillId="0" borderId="3" xfId="0" applyFont="1" applyBorder="1"/>
    <xf numFmtId="0" fontId="3" fillId="0" borderId="8" xfId="0" applyFont="1" applyBorder="1"/>
    <xf numFmtId="17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4" fontId="3" fillId="6" borderId="3" xfId="3" applyNumberFormat="1" applyFont="1" applyFill="1" applyBorder="1" applyAlignment="1">
      <alignment horizontal="center" vertical="center"/>
    </xf>
    <xf numFmtId="0" fontId="3" fillId="6" borderId="0" xfId="0" applyFont="1" applyFill="1"/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1" fontId="5" fillId="7" borderId="5" xfId="1" applyNumberFormat="1" applyFont="1" applyFill="1" applyBorder="1" applyAlignment="1">
      <alignment horizontal="center" vertical="center" wrapText="1"/>
    </xf>
    <xf numFmtId="1" fontId="4" fillId="7" borderId="5" xfId="0" applyNumberFormat="1" applyFont="1" applyFill="1" applyBorder="1" applyAlignment="1">
      <alignment horizontal="center" vertical="center" wrapText="1"/>
    </xf>
    <xf numFmtId="1" fontId="5" fillId="7" borderId="6" xfId="1" applyNumberFormat="1" applyFont="1" applyFill="1" applyBorder="1" applyAlignment="1">
      <alignment horizontal="center" vertical="center" wrapText="1"/>
    </xf>
    <xf numFmtId="0" fontId="3" fillId="7" borderId="0" xfId="0" applyFont="1" applyFill="1"/>
    <xf numFmtId="0" fontId="3" fillId="7" borderId="3" xfId="0" applyFont="1" applyFill="1" applyBorder="1"/>
    <xf numFmtId="44" fontId="3" fillId="7" borderId="3" xfId="4" applyFont="1" applyFill="1" applyBorder="1"/>
    <xf numFmtId="44" fontId="3" fillId="0" borderId="0" xfId="0" applyNumberFormat="1" applyFont="1"/>
    <xf numFmtId="0" fontId="6" fillId="0" borderId="3" xfId="0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0" fontId="6" fillId="0" borderId="3" xfId="0" applyFont="1" applyBorder="1"/>
    <xf numFmtId="44" fontId="3" fillId="0" borderId="3" xfId="4" applyFont="1" applyBorder="1"/>
    <xf numFmtId="164" fontId="3" fillId="0" borderId="3" xfId="0" applyNumberFormat="1" applyFont="1" applyBorder="1"/>
    <xf numFmtId="44" fontId="3" fillId="0" borderId="3" xfId="0" applyNumberFormat="1" applyFont="1" applyBorder="1"/>
    <xf numFmtId="43" fontId="3" fillId="0" borderId="3" xfId="1" applyFont="1" applyBorder="1"/>
    <xf numFmtId="164" fontId="8" fillId="8" borderId="13" xfId="3" applyNumberFormat="1" applyFont="1" applyFill="1" applyBorder="1" applyAlignment="1">
      <alignment horizontal="center" vertical="center"/>
    </xf>
    <xf numFmtId="164" fontId="8" fillId="8" borderId="14" xfId="3" applyNumberFormat="1" applyFont="1" applyFill="1" applyBorder="1" applyAlignment="1">
      <alignment horizontal="center" vertical="center"/>
    </xf>
    <xf numFmtId="164" fontId="8" fillId="8" borderId="15" xfId="3" applyNumberFormat="1" applyFont="1" applyFill="1" applyBorder="1" applyAlignment="1">
      <alignment horizontal="center" vertical="center"/>
    </xf>
    <xf numFmtId="167" fontId="8" fillId="0" borderId="10" xfId="6" applyNumberFormat="1" applyFont="1" applyFill="1" applyBorder="1" applyAlignment="1">
      <alignment horizontal="center" vertical="center"/>
    </xf>
    <xf numFmtId="167" fontId="8" fillId="0" borderId="16" xfId="6" applyNumberFormat="1" applyFont="1" applyFill="1" applyBorder="1" applyAlignment="1">
      <alignment horizontal="center" vertical="center"/>
    </xf>
    <xf numFmtId="167" fontId="8" fillId="0" borderId="3" xfId="1" applyNumberFormat="1" applyFont="1" applyFill="1" applyBorder="1" applyAlignment="1">
      <alignment horizontal="center" vertical="center" wrapText="1"/>
    </xf>
    <xf numFmtId="166" fontId="3" fillId="0" borderId="3" xfId="0" applyNumberFormat="1" applyFont="1" applyBorder="1"/>
    <xf numFmtId="166" fontId="3" fillId="0" borderId="0" xfId="0" applyNumberFormat="1" applyFont="1"/>
    <xf numFmtId="43" fontId="11" fillId="0" borderId="3" xfId="0" applyNumberFormat="1" applyFont="1" applyBorder="1"/>
    <xf numFmtId="43" fontId="12" fillId="0" borderId="3" xfId="1" applyFont="1" applyBorder="1"/>
    <xf numFmtId="0" fontId="13" fillId="9" borderId="10" xfId="0" applyFont="1" applyFill="1" applyBorder="1" applyAlignment="1">
      <alignment horizontal="center" vertical="center" wrapText="1"/>
    </xf>
    <xf numFmtId="0" fontId="14" fillId="0" borderId="3" xfId="0" applyFont="1" applyBorder="1"/>
    <xf numFmtId="164" fontId="8" fillId="8" borderId="3" xfId="3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167" fontId="8" fillId="0" borderId="10" xfId="6" applyNumberFormat="1" applyFont="1" applyFill="1" applyBorder="1" applyAlignment="1"/>
    <xf numFmtId="167" fontId="9" fillId="0" borderId="3" xfId="1" applyNumberFormat="1" applyFont="1" applyFill="1" applyBorder="1" applyAlignment="1">
      <alignment horizontal="center" vertical="center"/>
    </xf>
    <xf numFmtId="167" fontId="9" fillId="0" borderId="10" xfId="1" applyNumberFormat="1" applyFont="1" applyFill="1" applyBorder="1" applyAlignment="1">
      <alignment horizontal="center" vertical="center"/>
    </xf>
    <xf numFmtId="167" fontId="9" fillId="0" borderId="5" xfId="1" applyNumberFormat="1" applyFont="1" applyFill="1" applyBorder="1" applyAlignment="1">
      <alignment horizontal="center" vertical="center"/>
    </xf>
    <xf numFmtId="167" fontId="10" fillId="0" borderId="3" xfId="1" applyNumberFormat="1" applyFont="1" applyFill="1" applyBorder="1" applyAlignment="1">
      <alignment horizontal="center" vertical="center"/>
    </xf>
    <xf numFmtId="167" fontId="15" fillId="0" borderId="3" xfId="1" applyNumberFormat="1" applyFont="1" applyFill="1" applyBorder="1" applyAlignment="1">
      <alignment horizontal="center" vertical="center"/>
    </xf>
    <xf numFmtId="167" fontId="8" fillId="0" borderId="5" xfId="6" applyNumberFormat="1" applyFont="1" applyFill="1" applyBorder="1" applyAlignment="1">
      <alignment vertical="center"/>
    </xf>
    <xf numFmtId="167" fontId="8" fillId="0" borderId="3" xfId="6" applyNumberFormat="1" applyFont="1" applyFill="1" applyBorder="1" applyAlignment="1">
      <alignment vertical="center"/>
    </xf>
    <xf numFmtId="167" fontId="8" fillId="0" borderId="3" xfId="1" applyNumberFormat="1" applyFont="1" applyFill="1" applyBorder="1" applyAlignment="1">
      <alignment vertical="center" wrapText="1"/>
    </xf>
    <xf numFmtId="1" fontId="8" fillId="11" borderId="3" xfId="0" applyNumberFormat="1" applyFont="1" applyFill="1" applyBorder="1" applyAlignment="1">
      <alignment horizontal="right" vertical="center" wrapText="1"/>
    </xf>
    <xf numFmtId="41" fontId="8" fillId="11" borderId="3" xfId="5" applyNumberFormat="1" applyFont="1" applyFill="1" applyBorder="1" applyAlignment="1">
      <alignment horizontal="center" vertical="center" wrapText="1"/>
    </xf>
    <xf numFmtId="41" fontId="8" fillId="11" borderId="3" xfId="0" applyNumberFormat="1" applyFont="1" applyFill="1" applyBorder="1" applyAlignment="1">
      <alignment horizontal="center" vertical="center" wrapText="1"/>
    </xf>
    <xf numFmtId="41" fontId="8" fillId="11" borderId="3" xfId="1" applyNumberFormat="1" applyFont="1" applyFill="1" applyBorder="1" applyAlignment="1">
      <alignment vertical="center" wrapText="1"/>
    </xf>
    <xf numFmtId="41" fontId="8" fillId="6" borderId="3" xfId="1" applyNumberFormat="1" applyFont="1" applyFill="1" applyBorder="1" applyAlignment="1">
      <alignment vertical="center" wrapText="1"/>
    </xf>
    <xf numFmtId="0" fontId="16" fillId="0" borderId="0" xfId="0" applyFont="1"/>
    <xf numFmtId="0" fontId="17" fillId="6" borderId="1" xfId="0" applyFont="1" applyFill="1" applyBorder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8" fillId="0" borderId="0" xfId="0" applyFont="1"/>
    <xf numFmtId="166" fontId="19" fillId="8" borderId="3" xfId="0" applyNumberFormat="1" applyFont="1" applyFill="1" applyBorder="1"/>
    <xf numFmtId="0" fontId="20" fillId="7" borderId="4" xfId="0" applyFont="1" applyFill="1" applyBorder="1" applyAlignment="1">
      <alignment horizontal="center" vertical="center" wrapText="1"/>
    </xf>
    <xf numFmtId="0" fontId="20" fillId="7" borderId="5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vertical="center" wrapText="1"/>
    </xf>
    <xf numFmtId="0" fontId="21" fillId="3" borderId="5" xfId="0" applyFont="1" applyFill="1" applyBorder="1" applyAlignment="1">
      <alignment vertical="center"/>
    </xf>
    <xf numFmtId="0" fontId="21" fillId="3" borderId="7" xfId="0" applyFont="1" applyFill="1" applyBorder="1" applyAlignment="1">
      <alignment vertical="center" wrapText="1"/>
    </xf>
    <xf numFmtId="0" fontId="21" fillId="3" borderId="3" xfId="0" applyFont="1" applyFill="1" applyBorder="1" applyAlignment="1">
      <alignment vertical="center"/>
    </xf>
    <xf numFmtId="0" fontId="21" fillId="10" borderId="7" xfId="0" applyFont="1" applyFill="1" applyBorder="1" applyAlignment="1">
      <alignment vertical="center" wrapText="1"/>
    </xf>
    <xf numFmtId="0" fontId="21" fillId="10" borderId="3" xfId="0" applyFont="1" applyFill="1" applyBorder="1" applyAlignment="1">
      <alignment vertical="center" wrapText="1"/>
    </xf>
    <xf numFmtId="0" fontId="22" fillId="10" borderId="3" xfId="0" applyFont="1" applyFill="1" applyBorder="1" applyAlignment="1">
      <alignment horizontal="right" vertical="center" wrapText="1"/>
    </xf>
    <xf numFmtId="167" fontId="20" fillId="10" borderId="10" xfId="6" applyNumberFormat="1" applyFont="1" applyFill="1" applyBorder="1" applyAlignment="1">
      <alignment horizontal="center" vertical="center"/>
    </xf>
    <xf numFmtId="1" fontId="18" fillId="0" borderId="0" xfId="0" applyNumberFormat="1" applyFont="1"/>
    <xf numFmtId="42" fontId="18" fillId="0" borderId="0" xfId="5" applyFont="1" applyFill="1" applyBorder="1"/>
    <xf numFmtId="167" fontId="9" fillId="0" borderId="18" xfId="1" applyNumberFormat="1" applyFont="1" applyFill="1" applyBorder="1" applyAlignment="1">
      <alignment horizontal="center" vertical="center"/>
    </xf>
    <xf numFmtId="167" fontId="10" fillId="10" borderId="3" xfId="1" applyNumberFormat="1" applyFont="1" applyFill="1" applyBorder="1" applyAlignment="1">
      <alignment horizontal="center" vertical="center"/>
    </xf>
    <xf numFmtId="167" fontId="9" fillId="0" borderId="17" xfId="1" applyNumberFormat="1" applyFont="1" applyFill="1" applyBorder="1" applyAlignment="1">
      <alignment horizontal="center" vertical="center"/>
    </xf>
    <xf numFmtId="167" fontId="9" fillId="0" borderId="19" xfId="1" applyNumberFormat="1" applyFont="1" applyFill="1" applyBorder="1" applyAlignment="1">
      <alignment horizontal="center" vertical="center"/>
    </xf>
    <xf numFmtId="167" fontId="9" fillId="11" borderId="17" xfId="1" applyNumberFormat="1" applyFont="1" applyFill="1" applyBorder="1" applyAlignment="1">
      <alignment horizontal="center" vertical="center"/>
    </xf>
    <xf numFmtId="167" fontId="23" fillId="10" borderId="3" xfId="1" applyNumberFormat="1" applyFont="1" applyFill="1" applyBorder="1" applyAlignment="1">
      <alignment horizontal="center" vertical="center"/>
    </xf>
    <xf numFmtId="167" fontId="20" fillId="10" borderId="3" xfId="1" applyNumberFormat="1" applyFont="1" applyFill="1" applyBorder="1" applyAlignment="1">
      <alignment horizontal="center" vertical="center" wrapText="1"/>
    </xf>
    <xf numFmtId="41" fontId="8" fillId="11" borderId="3" xfId="0" applyNumberFormat="1" applyFont="1" applyFill="1" applyBorder="1" applyAlignment="1">
      <alignment vertical="center" wrapText="1"/>
    </xf>
    <xf numFmtId="41" fontId="8" fillId="11" borderId="3" xfId="5" applyNumberFormat="1" applyFont="1" applyFill="1" applyBorder="1" applyAlignment="1">
      <alignment vertical="center" wrapText="1"/>
    </xf>
    <xf numFmtId="0" fontId="8" fillId="11" borderId="3" xfId="0" applyFont="1" applyFill="1" applyBorder="1" applyAlignment="1">
      <alignment vertical="center" wrapText="1"/>
    </xf>
    <xf numFmtId="0" fontId="18" fillId="6" borderId="0" xfId="0" applyFont="1" applyFill="1"/>
    <xf numFmtId="0" fontId="8" fillId="11" borderId="3" xfId="5" applyNumberFormat="1" applyFont="1" applyFill="1" applyBorder="1" applyAlignment="1">
      <alignment vertical="center" wrapText="1"/>
    </xf>
    <xf numFmtId="0" fontId="18" fillId="6" borderId="0" xfId="5" applyNumberFormat="1" applyFont="1" applyFill="1" applyBorder="1"/>
    <xf numFmtId="164" fontId="24" fillId="0" borderId="3" xfId="0" applyNumberFormat="1" applyFont="1" applyBorder="1"/>
    <xf numFmtId="0" fontId="18" fillId="0" borderId="3" xfId="0" applyFont="1" applyBorder="1"/>
    <xf numFmtId="0" fontId="21" fillId="3" borderId="9" xfId="0" applyFont="1" applyFill="1" applyBorder="1" applyAlignment="1">
      <alignment vertical="center" wrapText="1"/>
    </xf>
    <xf numFmtId="0" fontId="21" fillId="3" borderId="10" xfId="0" applyFont="1" applyFill="1" applyBorder="1" applyAlignment="1">
      <alignment vertical="center"/>
    </xf>
    <xf numFmtId="0" fontId="21" fillId="0" borderId="10" xfId="0" applyFont="1" applyBorder="1"/>
    <xf numFmtId="0" fontId="21" fillId="0" borderId="0" xfId="0" applyFont="1"/>
    <xf numFmtId="0" fontId="21" fillId="10" borderId="9" xfId="0" applyFont="1" applyFill="1" applyBorder="1" applyAlignment="1">
      <alignment vertical="center" wrapText="1"/>
    </xf>
    <xf numFmtId="0" fontId="21" fillId="10" borderId="10" xfId="0" applyFont="1" applyFill="1" applyBorder="1" applyAlignment="1">
      <alignment vertical="center" wrapText="1"/>
    </xf>
    <xf numFmtId="0" fontId="17" fillId="10" borderId="10" xfId="0" applyFont="1" applyFill="1" applyBorder="1" applyAlignment="1">
      <alignment vertical="center" wrapText="1"/>
    </xf>
    <xf numFmtId="41" fontId="17" fillId="10" borderId="3" xfId="0" applyNumberFormat="1" applyFont="1" applyFill="1" applyBorder="1"/>
    <xf numFmtId="0" fontId="21" fillId="0" borderId="9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167" fontId="17" fillId="0" borderId="3" xfId="0" applyNumberFormat="1" applyFont="1" applyBorder="1"/>
    <xf numFmtId="0" fontId="17" fillId="0" borderId="10" xfId="0" applyFont="1" applyBorder="1" applyAlignment="1">
      <alignment vertical="center" wrapText="1"/>
    </xf>
    <xf numFmtId="168" fontId="17" fillId="0" borderId="3" xfId="4" applyNumberFormat="1" applyFont="1" applyBorder="1"/>
    <xf numFmtId="168" fontId="25" fillId="0" borderId="0" xfId="0" applyNumberFormat="1" applyFont="1"/>
    <xf numFmtId="0" fontId="6" fillId="6" borderId="0" xfId="0" applyFont="1" applyFill="1" applyBorder="1" applyAlignment="1">
      <alignment horizontal="right"/>
    </xf>
    <xf numFmtId="164" fontId="3" fillId="6" borderId="0" xfId="0" applyNumberFormat="1" applyFont="1" applyFill="1" applyBorder="1"/>
    <xf numFmtId="0" fontId="3" fillId="6" borderId="0" xfId="0" applyFont="1" applyFill="1" applyBorder="1"/>
    <xf numFmtId="43" fontId="3" fillId="6" borderId="0" xfId="1" applyFont="1" applyFill="1" applyBorder="1"/>
    <xf numFmtId="0" fontId="6" fillId="6" borderId="0" xfId="0" applyFont="1" applyFill="1" applyBorder="1"/>
    <xf numFmtId="43" fontId="6" fillId="6" borderId="0" xfId="1" applyFont="1" applyFill="1" applyBorder="1"/>
    <xf numFmtId="164" fontId="3" fillId="6" borderId="3" xfId="0" applyNumberFormat="1" applyFont="1" applyFill="1" applyBorder="1"/>
  </cellXfs>
  <cellStyles count="8">
    <cellStyle name="Millares" xfId="1" builtinId="3"/>
    <cellStyle name="Millares 3" xfId="6" xr:uid="{7BC89C30-8F78-45B6-BE90-A2AD041A555B}"/>
    <cellStyle name="Moneda" xfId="4" builtinId="4"/>
    <cellStyle name="Moneda [0]" xfId="5" builtinId="7"/>
    <cellStyle name="Moneda [0] 2" xfId="7" xr:uid="{73927923-DA73-4FE1-9382-98BED08F1B02}"/>
    <cellStyle name="Moneda 3" xfId="3" xr:uid="{4E51CB88-FE0A-4DBC-8E2B-548245F0FFDE}"/>
    <cellStyle name="Normal" xfId="0" builtinId="0"/>
    <cellStyle name="Porcentaje" xfId="2" builtinId="5"/>
  </cellStyles>
  <dxfs count="7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" formatCode="0"/>
      <fill>
        <patternFill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" formatCode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 Narrow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" formatCode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family val="2"/>
        <scheme val="none"/>
      </font>
      <numFmt numFmtId="1" formatCode="0"/>
      <alignment horizontal="center" vertical="center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1" formatCode="0"/>
      <fill>
        <patternFill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eidy Paola Castiblanco Carrion" id="{856F684B-C00B-49E9-9529-A475B726E6FC}" userId="4329625d573c01b3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B29211-4E0D-4D84-8568-84D07DC8E979}" name="Tabla1346591011127" displayName="Tabla1346591011127" ref="A5:AB93" totalsRowShown="0" headerRowDxfId="75" dataDxfId="73" totalsRowDxfId="71" headerRowBorderDxfId="74" tableBorderDxfId="72" totalsRowBorderDxfId="70" headerRowCellStyle="Millares">
  <autoFilter ref="A5:AB93" xr:uid="{41B29211-4E0D-4D84-8568-84D07DC8E979}"/>
  <sortState xmlns:xlrd2="http://schemas.microsoft.com/office/spreadsheetml/2017/richdata2" ref="A6:AB82">
    <sortCondition ref="D5:D93"/>
  </sortState>
  <tableColumns count="28">
    <tableColumn id="1" xr3:uid="{CBC31782-C418-4F8D-A07D-9F678A333B1C}" name="REGIONAL" dataDxfId="69" totalsRowDxfId="68"/>
    <tableColumn id="2" xr3:uid="{69CB6E34-CF22-4540-A43E-698A77EBC5A6}" name="CENTRO" dataDxfId="67" totalsRowDxfId="66"/>
    <tableColumn id="3" xr3:uid="{5FB9FDA8-EE27-4271-A0FE-AE5B2B9E148B}" name="DIRECCIÓN " dataDxfId="65" totalsRowDxfId="64"/>
    <tableColumn id="4" xr3:uid="{0E98D252-B0C9-47D2-99E2-DFD7CAE6C0C0}" name="MUNICIPIO" dataDxfId="63" totalsRowDxfId="62"/>
    <tableColumn id="5" xr3:uid="{5BA69908-D543-45EA-AB9A-68DD79BA9CD1}" name="Integrante" dataDxfId="61" totalsRowDxfId="60"/>
    <tableColumn id="6" xr3:uid="{F83F4A14-A0FD-4834-BA31-77FCC86577C1}" name="PUESTO 24 HORAS TODOS LOS DÍAS CON ARMA" dataDxfId="59" totalsRowDxfId="58"/>
    <tableColumn id="7" xr3:uid="{BF29884F-2392-47AA-9948-4B65C94FC235}" name="PUESTO 24 HORAS TODOS LOS DÍAS SIN ARMA" dataDxfId="57" totalsRowDxfId="56"/>
    <tableColumn id="8" xr3:uid="{F24878C4-1C19-4C9A-8145-1FB03BFAB888}" name="PUESTO 24 HORAS MONITOREO" dataDxfId="55" totalsRowDxfId="54"/>
    <tableColumn id="28" xr3:uid="{01DCBD77-829F-4F5C-BF01-4FED00641801}" name="Columna2" dataDxfId="53" totalsRowDxfId="52"/>
    <tableColumn id="9" xr3:uid="{091A0B84-9147-4C3E-BBA0-F417D8EB7616}" name="PUESTO 24 HORAS TODOS LOS DÍAS CON CANINO" dataDxfId="51" totalsRowDxfId="50"/>
    <tableColumn id="10" xr3:uid="{9A6F8BCD-61F3-4537-810F-4FCDBA2C18B8}" name="PUESTO 24 HORAS LUNES A VIERNES SIN ARMA" dataDxfId="49" totalsRowDxfId="48"/>
    <tableColumn id="11" xr3:uid="{8542A49F-C868-46FA-8AE2-7E1B7086C271}" name="PUESTO 24 HORAS LUNES A SABADO SIN ARMA" dataDxfId="47" totalsRowDxfId="46"/>
    <tableColumn id="12" xr3:uid="{2EF69E35-5554-4E86-95C8-03BF3CB36979}" name="PUESTO 16 HORAS (13 HORAS DIURNAS Y 3 HORAS NOCTURNAS) TODOS LOS DÍAS SIN ARMA" dataDxfId="45" totalsRowDxfId="44"/>
    <tableColumn id="13" xr3:uid="{D8E44013-0E5F-4F64-9CA1-8D0A0DD7FD46}" name="PUESTO 16 HORAS (13 HORAS DIURNAS Y 3 HORAS NOCTURNAS) LUNES A VIERNES NO INCLUYE FESTIVOS SIN ARMA" dataDxfId="43" totalsRowDxfId="42"/>
    <tableColumn id="14" xr3:uid="{28F39041-6551-485E-A7A8-FE1C44AAEDE3}" name="PUESTO 16 HORAS (13 HORAS DIURNAS Y 3 HORAS NOCTURNAS) LUNES A SÁBADO NO INCLUYE FESTIVOS SIN ARMA" dataDxfId="41" totalsRowDxfId="40"/>
    <tableColumn id="15" xr3:uid="{E0C0F382-2039-4FF9-B91C-3199348BEEEC}" name="PUESTO 12 HORAS DIURNAS TODOS LOS DÍAS SIN ARMA" dataDxfId="39" totalsRowDxfId="38"/>
    <tableColumn id="16" xr3:uid="{45095C0F-7042-4735-950E-0519733845FE}" name="PUESTO 12 HORAS DIURNAS LUNES A VIERNES NO INCLUYE FESTIVOS SIN ARMA" dataDxfId="37" totalsRowDxfId="36"/>
    <tableColumn id="17" xr3:uid="{A422B28A-8F99-4D1E-AEEC-B61B4F11B7F2}" name="PUESTO 12 HORAS DIURNAS LUNES A SÁBADO NO INCLUYE FESTIVOS SIN ARMA" dataDxfId="35" totalsRowDxfId="34"/>
    <tableColumn id="18" xr3:uid="{5175720D-C3D4-41EB-AA2D-18ECAE98DB1C}" name="PUESTO 12 HORAS (11 HORAS NOCTURNAS Y 1 HORA DIURNA) TODOS LOS DIAS SIN ARMA" dataDxfId="33" totalsRowDxfId="32"/>
    <tableColumn id="19" xr3:uid="{2D4479D1-77CC-490C-B78A-8D20B8CD39E3}" name="PUESTO 12 HORAS (11 HORAS NOCTURNAS Y 1 HORA DIURNA) LUNES A SABADO  SIN ARMA" dataDxfId="31" totalsRowDxfId="30"/>
    <tableColumn id="20" xr3:uid="{3821E6EC-7166-4B4E-9A70-53EDD720FBE4}" name="PUESTO 12 HORAS (11 HORAS NOCTURNAS Y 1 HORA DIURNA) TODOS LOS DIAS CON ARMA" dataDxfId="29" totalsRowDxfId="28"/>
    <tableColumn id="21" xr3:uid="{1915B3E4-B7CB-4698-9FAA-0A9A05428BE4}" name="PUESTO 8 HORAS NOCTURNAS TODOS LOS DÍAS CON ARMA" dataDxfId="27" totalsRowDxfId="26"/>
    <tableColumn id="22" xr3:uid="{AB150236-999D-42D2-8676-0F4E632D0ED1}" name="PUESTO 8 HORAS NOCTURNAS TODOS LOS DÍAS SIN ARMA" dataDxfId="25" totalsRowDxfId="24"/>
    <tableColumn id="23" xr3:uid="{E276884A-8C44-4C38-81CD-45D1FDBF381A}" name="PUESTO 8 HORAS NOCTURNAS LUNES A VIERNES SIN ARMA" dataDxfId="23" totalsRowDxfId="22"/>
    <tableColumn id="24" xr3:uid="{56F7A2E9-E6D9-448C-BDD7-FC5343DDB949}" name="PUESTO 8 HORAS DIURNAS LUNES A SÁBADO NO INCLUYE FESTIVOS SIN ARMA" dataDxfId="21" totalsRowDxfId="20"/>
    <tableColumn id="25" xr3:uid="{4A0DBE5F-61E3-4883-8568-8D9A67C155AC}" name="PUESTO 8 HORAS DIURNAS LUNES A VIERNES NO INCLUYE FESTIVOS SIN ARMA" dataDxfId="19" totalsRowDxfId="18"/>
    <tableColumn id="26" xr3:uid="{BDBCF9BE-5530-4E74-8800-2DDC34319CC3}" name="PUESTO 8 HORAS DIURNAS TODOS LOS DIAS SIN ARMA" dataDxfId="17" totalsRowDxfId="16"/>
    <tableColumn id="27" xr3:uid="{249F41B9-49A2-47E1-923E-CC3293094434}" name="Columna1" dataDxfId="15" totalsRowDxfId="14">
      <calculatedColumnFormula>SUM(Tabla1346591011127[[#This Row],[PUESTO 24 HORAS TODOS LOS DÍAS CON ARMA]:[PUESTO 8 HORAS DIURNAS TODOS LOS DIAS SIN ARMA]])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7B1E2-70AF-431D-B02A-A348A6D5FD84}" name="Tabla134659101112711" displayName="Tabla134659101112711" ref="A6:D99" totalsRowShown="0" headerRowDxfId="1" dataDxfId="0" totalsRowDxfId="13" headerRowBorderDxfId="11" tableBorderDxfId="12" totalsRowBorderDxfId="10" headerRowCellStyle="Millares">
  <autoFilter ref="A6:D99" xr:uid="{8F67B1E2-70AF-431D-B02A-A348A6D5FD84}"/>
  <sortState xmlns:xlrd2="http://schemas.microsoft.com/office/spreadsheetml/2017/richdata2" ref="A7:D96">
    <sortCondition ref="A5:A95"/>
  </sortState>
  <tableColumns count="4">
    <tableColumn id="1" xr3:uid="{50F19891-34E8-430B-B32C-3B31B54B63EE}" name="REGIONAL" dataDxfId="5" totalsRowDxfId="9"/>
    <tableColumn id="2" xr3:uid="{80E6F271-9382-4D1A-82BC-5E4670C948A9}" name="CENTRO" dataDxfId="4" totalsRowDxfId="8"/>
    <tableColumn id="3" xr3:uid="{CB899CF4-2AA5-4DF4-BF90-FD5590F0E6C3}" name="DIRECCIÓN " dataDxfId="3" totalsRowDxfId="7"/>
    <tableColumn id="4" xr3:uid="{A56BD7AD-EF11-491A-BC29-85A1715811A6}" name="MUNICIPIO" dataDxfId="2" totalsRow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39" dT="2025-12-02T11:26:57.04" personId="{856F684B-C00B-49E9-9529-A475B726E6FC}" id="{9BE570E1-8418-4A73-8481-9E513FBE0C44}">
    <text>Servicio inicia el 1 de diciembre</text>
  </threadedComment>
  <threadedComment ref="Q41" dT="2025-12-02T11:23:08.69" personId="{856F684B-C00B-49E9-9529-A475B726E6FC}" id="{E4DB00D5-C96E-49E9-BE9D-5CD833E72677}">
    <text>Inicia el 1 de Noviembre reemplaza el serv 8 horas</text>
  </threadedComment>
  <threadedComment ref="Z41" dT="2025-12-02T11:22:32.45" personId="{856F684B-C00B-49E9-9529-A475B726E6FC}" id="{6DFE4C50-7623-4AB7-A0E8-A9845874017E}">
    <text xml:space="preserve">Se presto hasta el 31 de octubre </text>
  </threadedComment>
  <threadedComment ref="N46" dT="2025-12-02T11:21:33.98" personId="{856F684B-C00B-49E9-9529-A475B726E6FC}" id="{FE3B111A-7B5B-426E-A2E3-3AECF206B5CF}">
    <text>Inicia el 1 de Noviembre- reemplazo al serv 8 H L-V</text>
  </threadedComment>
  <threadedComment ref="Z46" dT="2025-12-02T11:20:22.53" personId="{856F684B-C00B-49E9-9529-A475B726E6FC}" id="{5602D0AE-03FF-4B03-A1EA-E4D83306EC3A}">
    <text>Se presto hasta el 31 de octubre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BE77-C725-478A-BD12-20F3EE14D418}">
  <dimension ref="A1:AB126"/>
  <sheetViews>
    <sheetView tabSelected="1" topLeftCell="A103" zoomScale="73" zoomScaleNormal="73" workbookViewId="0">
      <selection activeCell="C127" sqref="C127"/>
    </sheetView>
  </sheetViews>
  <sheetFormatPr baseColWidth="10" defaultColWidth="11.4140625" defaultRowHeight="14"/>
  <cols>
    <col min="1" max="1" width="13.4140625" style="1" customWidth="1"/>
    <col min="2" max="2" width="52.58203125" style="1" customWidth="1"/>
    <col min="3" max="3" width="44.58203125" style="1" customWidth="1"/>
    <col min="4" max="4" width="33.1640625" style="1" customWidth="1"/>
    <col min="5" max="5" width="18.75" style="1" customWidth="1"/>
    <col min="6" max="8" width="20.4140625" style="1" customWidth="1"/>
    <col min="9" max="9" width="20.4140625" style="1" hidden="1" customWidth="1"/>
    <col min="10" max="12" width="20.4140625" style="1" customWidth="1"/>
    <col min="13" max="13" width="27" style="1" customWidth="1"/>
    <col min="14" max="27" width="20.4140625" style="1" customWidth="1"/>
    <col min="28" max="28" width="24.4140625" style="1" bestFit="1" customWidth="1"/>
    <col min="29" max="16384" width="11.4140625" style="1"/>
  </cols>
  <sheetData>
    <row r="1" spans="1:28" s="42" customFormat="1">
      <c r="A1" s="74" t="s">
        <v>0</v>
      </c>
      <c r="B1" s="75"/>
      <c r="C1" s="75"/>
      <c r="D1" s="76"/>
      <c r="E1" s="41" t="s">
        <v>1</v>
      </c>
      <c r="F1" s="41">
        <f>ROUND(((1750905*9.77)+(2850)),0)</f>
        <v>17109192</v>
      </c>
      <c r="G1" s="41">
        <f>ROUND(((1750905*9.77)+(2850)),0)</f>
        <v>17109192</v>
      </c>
      <c r="H1" s="41">
        <f>ROUND(((1750905*9.77)+(2850)),0)</f>
        <v>17109192</v>
      </c>
      <c r="I1" s="41"/>
      <c r="J1" s="41">
        <f>ROUND(((1750905*9.77)+(2850)),0)</f>
        <v>17109192</v>
      </c>
      <c r="K1" s="41">
        <f>ROUND(((1750905*9.77)+(2850)),0)/30*20</f>
        <v>11406128</v>
      </c>
      <c r="L1" s="41">
        <f>ROUND(((1750905*9.77)+(2850)),0)/30*24</f>
        <v>13687353.600000001</v>
      </c>
      <c r="M1" s="41">
        <f>ROUND((((((1750905*9.77)+2850)*52.41%)/11)*3)+(((((1750905*9.77)+2850)*47.59%)/13)*13),0)</f>
        <v>10587790</v>
      </c>
      <c r="N1" s="41">
        <f>ROUND((((((1750905*9.77)+2850)*52.41%)/11)*3)+(((((1750905*9.77)+2850)*47.59%)/13)*13),0)/30*20</f>
        <v>7058526.666666666</v>
      </c>
      <c r="O1" s="41">
        <f>ROUND((((((1750905*9.77)+2850)*52.41%)/11)*3)+(((((1750905*9.77)+2850)*47.59%)/13)*13),0)/30*24</f>
        <v>8470232</v>
      </c>
      <c r="P1" s="41">
        <f>ROUND((((((1750905*9.77)+2850)*47.59%)/13)*12),0)</f>
        <v>7515936</v>
      </c>
      <c r="Q1" s="41">
        <f>ROUND((((((1750905*9.77)+2850)*47.59%)/13)*12),0)/30*20</f>
        <v>5010624</v>
      </c>
      <c r="R1" s="41">
        <f>ROUND((((((1750905*9.77)+2850)*47.59%)/13)*12),0)/30*24</f>
        <v>6012748.8000000007</v>
      </c>
      <c r="S1" s="41">
        <f>ROUND((((((1750905*9.77)+2850)*52.41%)/11)*11)+(((((1750905*9.77)+2850)*47.59%)/13)*1),0)</f>
        <v>9593255</v>
      </c>
      <c r="T1" s="41">
        <f>ROUND((((((1750905*9.77)+2850)*52.41%)/11)*11)+(((((1750905*9.77)+2850)*47.59%)/13)*1),0)/30*24</f>
        <v>7674604</v>
      </c>
      <c r="U1" s="41">
        <f>ROUND((((((1750905*9.77)+2850)*52.41%)/11)*11)+(((((1750905*9.77)+2850)*47.59%)/13)*1),0)</f>
        <v>9593255</v>
      </c>
      <c r="V1" s="41">
        <f>ROUND((((((1750905*9.77)+2850)*52.41%)/11)*8),0)</f>
        <v>6521402</v>
      </c>
      <c r="W1" s="41">
        <f>ROUND((((((1750905*9.77)+2850)*52.41%)/11)*8),0)</f>
        <v>6521402</v>
      </c>
      <c r="X1" s="41">
        <f>ROUND((((((1750905*9.77)+2850)*52.41%)/11)*8),0)/30*20</f>
        <v>4347601.333333334</v>
      </c>
      <c r="Y1" s="41">
        <f>ROUND((((((1750905*9.77)+2850)*47.59%)/13)*8),0)/30*24</f>
        <v>4008499.1999999997</v>
      </c>
      <c r="Z1" s="41">
        <f>ROUND((((((1750905*9.77)+2850)*47.59%)/13)*8),0)/30*20</f>
        <v>3340416</v>
      </c>
      <c r="AA1" s="41">
        <f>ROUND((((((1750905*9.77)+2850)*47.59%)/13)*8),0)</f>
        <v>5010624</v>
      </c>
      <c r="AB1" s="148"/>
    </row>
    <row r="2" spans="1:28" s="42" customFormat="1">
      <c r="A2" s="74"/>
      <c r="B2" s="75"/>
      <c r="C2" s="75"/>
      <c r="D2" s="76"/>
      <c r="E2" s="41" t="s">
        <v>2</v>
      </c>
      <c r="F2" s="41">
        <f>+F1*0.1</f>
        <v>1710919.2000000002</v>
      </c>
      <c r="G2" s="41">
        <f>+G1*0.08</f>
        <v>1368735.36</v>
      </c>
      <c r="H2" s="41">
        <f>+H1*0.08</f>
        <v>1368735.36</v>
      </c>
      <c r="I2" s="41"/>
      <c r="J2" s="41">
        <f>+J1*0.11</f>
        <v>1882011.12</v>
      </c>
      <c r="K2" s="41">
        <f t="shared" ref="K2:T2" si="0">+K1*0.08</f>
        <v>912490.24</v>
      </c>
      <c r="L2" s="41">
        <f t="shared" si="0"/>
        <v>1094988.2880000002</v>
      </c>
      <c r="M2" s="41">
        <f t="shared" si="0"/>
        <v>847023.20000000007</v>
      </c>
      <c r="N2" s="41">
        <f t="shared" si="0"/>
        <v>564682.1333333333</v>
      </c>
      <c r="O2" s="41">
        <f t="shared" si="0"/>
        <v>677618.56</v>
      </c>
      <c r="P2" s="41">
        <f t="shared" si="0"/>
        <v>601274.88</v>
      </c>
      <c r="Q2" s="41">
        <f t="shared" si="0"/>
        <v>400849.91999999998</v>
      </c>
      <c r="R2" s="41">
        <f t="shared" si="0"/>
        <v>481019.9040000001</v>
      </c>
      <c r="S2" s="41">
        <f t="shared" si="0"/>
        <v>767460.4</v>
      </c>
      <c r="T2" s="41">
        <f t="shared" si="0"/>
        <v>613968.32000000007</v>
      </c>
      <c r="U2" s="41">
        <f>+U1*0.1</f>
        <v>959325.5</v>
      </c>
      <c r="V2" s="41">
        <f>+V1*0.1</f>
        <v>652140.20000000007</v>
      </c>
      <c r="W2" s="41">
        <f>+W1*0.08</f>
        <v>521712.16000000003</v>
      </c>
      <c r="X2" s="41">
        <f>+X1*0.08</f>
        <v>347808.10666666675</v>
      </c>
      <c r="Y2" s="41">
        <f>+Y1*0.08</f>
        <v>320679.93599999999</v>
      </c>
      <c r="Z2" s="41">
        <f>+Z1*0.08</f>
        <v>267233.28000000003</v>
      </c>
      <c r="AA2" s="41">
        <f>+AA1*0.08</f>
        <v>400849.91999999998</v>
      </c>
      <c r="AB2" s="148">
        <f>SUM(F2:AA2)</f>
        <v>16761525.988000002</v>
      </c>
    </row>
    <row r="3" spans="1:28" s="42" customFormat="1">
      <c r="A3" s="74"/>
      <c r="B3" s="75"/>
      <c r="C3" s="75"/>
      <c r="D3" s="76"/>
      <c r="E3" s="41" t="s">
        <v>3</v>
      </c>
      <c r="F3" s="41">
        <f>+(F1+F2)*1.9/100</f>
        <v>357582.11279999994</v>
      </c>
      <c r="G3" s="41">
        <f t="shared" ref="G3:AA3" si="1">+(G1+G2)*1.9/100</f>
        <v>351080.61984</v>
      </c>
      <c r="H3" s="41">
        <f t="shared" si="1"/>
        <v>351080.61984</v>
      </c>
      <c r="I3" s="41"/>
      <c r="J3" s="41">
        <f t="shared" si="1"/>
        <v>360832.85928000003</v>
      </c>
      <c r="K3" s="41">
        <f t="shared" si="1"/>
        <v>234053.74656</v>
      </c>
      <c r="L3" s="41">
        <f t="shared" si="1"/>
        <v>280864.495872</v>
      </c>
      <c r="M3" s="41">
        <f t="shared" si="1"/>
        <v>217261.45079999999</v>
      </c>
      <c r="N3" s="41">
        <f t="shared" si="1"/>
        <v>144840.96719999996</v>
      </c>
      <c r="O3" s="41">
        <f t="shared" si="1"/>
        <v>173809.16063999999</v>
      </c>
      <c r="P3" s="41">
        <f t="shared" si="1"/>
        <v>154227.00671999998</v>
      </c>
      <c r="Q3" s="41">
        <f t="shared" si="1"/>
        <v>102818.00447999999</v>
      </c>
      <c r="R3" s="41">
        <f t="shared" si="1"/>
        <v>123381.60537600001</v>
      </c>
      <c r="S3" s="41">
        <f t="shared" si="1"/>
        <v>196853.5926</v>
      </c>
      <c r="T3" s="41">
        <f t="shared" si="1"/>
        <v>157482.87408000001</v>
      </c>
      <c r="U3" s="41">
        <f t="shared" si="1"/>
        <v>200499.0295</v>
      </c>
      <c r="V3" s="41">
        <f t="shared" si="1"/>
        <v>136297.30179999999</v>
      </c>
      <c r="W3" s="41">
        <f t="shared" si="1"/>
        <v>133819.16903999998</v>
      </c>
      <c r="X3" s="41">
        <f t="shared" si="1"/>
        <v>89212.77936</v>
      </c>
      <c r="Y3" s="41">
        <f t="shared" si="1"/>
        <v>82254.403584</v>
      </c>
      <c r="Z3" s="41">
        <f t="shared" si="1"/>
        <v>68545.336320000002</v>
      </c>
      <c r="AA3" s="41">
        <f t="shared" si="1"/>
        <v>102818.00447999999</v>
      </c>
      <c r="AB3" s="148">
        <f>SUM(F3:AA3)</f>
        <v>4019615.1401720005</v>
      </c>
    </row>
    <row r="4" spans="1:28" s="42" customFormat="1">
      <c r="A4" s="74"/>
      <c r="B4" s="75"/>
      <c r="C4" s="75"/>
      <c r="D4" s="76"/>
      <c r="E4" s="41" t="s">
        <v>4</v>
      </c>
      <c r="F4" s="41">
        <f>+F1+F2+F3</f>
        <v>19177693.312799998</v>
      </c>
      <c r="G4" s="41">
        <f t="shared" ref="G4:AA4" si="2">+G1+G2+G3</f>
        <v>18829007.979839999</v>
      </c>
      <c r="H4" s="41">
        <f t="shared" si="2"/>
        <v>18829007.979839999</v>
      </c>
      <c r="I4" s="41"/>
      <c r="J4" s="41">
        <f t="shared" si="2"/>
        <v>19352035.979280002</v>
      </c>
      <c r="K4" s="41">
        <f t="shared" si="2"/>
        <v>12552671.98656</v>
      </c>
      <c r="L4" s="41">
        <f t="shared" si="2"/>
        <v>15063206.383872002</v>
      </c>
      <c r="M4" s="41">
        <f t="shared" si="2"/>
        <v>11652074.650799999</v>
      </c>
      <c r="N4" s="41">
        <f t="shared" si="2"/>
        <v>7768049.7671999987</v>
      </c>
      <c r="O4" s="41">
        <f t="shared" si="2"/>
        <v>9321659.72064</v>
      </c>
      <c r="P4" s="41">
        <f t="shared" si="2"/>
        <v>8271437.8867199998</v>
      </c>
      <c r="Q4" s="41">
        <f t="shared" si="2"/>
        <v>5514291.9244799996</v>
      </c>
      <c r="R4" s="41">
        <f t="shared" si="2"/>
        <v>6617150.3093760004</v>
      </c>
      <c r="S4" s="41">
        <f t="shared" si="2"/>
        <v>10557568.9926</v>
      </c>
      <c r="T4" s="41">
        <f t="shared" si="2"/>
        <v>8446055.1940800007</v>
      </c>
      <c r="U4" s="41">
        <f t="shared" si="2"/>
        <v>10753079.5295</v>
      </c>
      <c r="V4" s="41">
        <f t="shared" si="2"/>
        <v>7309839.5017999997</v>
      </c>
      <c r="W4" s="41">
        <f t="shared" si="2"/>
        <v>7176933.3290400002</v>
      </c>
      <c r="X4" s="41">
        <f t="shared" si="2"/>
        <v>4784622.2193600005</v>
      </c>
      <c r="Y4" s="41">
        <f t="shared" si="2"/>
        <v>4411433.5395839997</v>
      </c>
      <c r="Z4" s="41">
        <f t="shared" si="2"/>
        <v>3676194.61632</v>
      </c>
      <c r="AA4" s="41">
        <f t="shared" si="2"/>
        <v>5514291.9244799996</v>
      </c>
      <c r="AB4" s="148"/>
    </row>
    <row r="5" spans="1:28" s="48" customFormat="1" ht="84">
      <c r="A5" s="43" t="s">
        <v>5</v>
      </c>
      <c r="B5" s="44" t="s">
        <v>6</v>
      </c>
      <c r="C5" s="44" t="s">
        <v>7</v>
      </c>
      <c r="D5" s="44" t="s">
        <v>8</v>
      </c>
      <c r="E5" s="44" t="s">
        <v>9</v>
      </c>
      <c r="F5" s="45" t="s">
        <v>10</v>
      </c>
      <c r="G5" s="45" t="s">
        <v>11</v>
      </c>
      <c r="H5" s="45" t="s">
        <v>12</v>
      </c>
      <c r="I5" s="45" t="s">
        <v>214</v>
      </c>
      <c r="J5" s="45" t="s">
        <v>13</v>
      </c>
      <c r="K5" s="45" t="s">
        <v>14</v>
      </c>
      <c r="L5" s="45" t="s">
        <v>15</v>
      </c>
      <c r="M5" s="45" t="s">
        <v>16</v>
      </c>
      <c r="N5" s="45" t="s">
        <v>17</v>
      </c>
      <c r="O5" s="45" t="s">
        <v>18</v>
      </c>
      <c r="P5" s="45" t="s">
        <v>19</v>
      </c>
      <c r="Q5" s="45" t="s">
        <v>20</v>
      </c>
      <c r="R5" s="45" t="s">
        <v>21</v>
      </c>
      <c r="S5" s="45" t="s">
        <v>22</v>
      </c>
      <c r="T5" s="45" t="s">
        <v>23</v>
      </c>
      <c r="U5" s="46" t="s">
        <v>24</v>
      </c>
      <c r="V5" s="45" t="s">
        <v>25</v>
      </c>
      <c r="W5" s="45" t="s">
        <v>26</v>
      </c>
      <c r="X5" s="45" t="s">
        <v>27</v>
      </c>
      <c r="Y5" s="45" t="s">
        <v>28</v>
      </c>
      <c r="Z5" s="45" t="s">
        <v>29</v>
      </c>
      <c r="AA5" s="47" t="s">
        <v>30</v>
      </c>
      <c r="AB5" s="45" t="s">
        <v>31</v>
      </c>
    </row>
    <row r="6" spans="1:28" s="7" customFormat="1">
      <c r="A6" s="2"/>
      <c r="B6" s="3"/>
      <c r="C6" s="3"/>
      <c r="D6" s="3" t="s">
        <v>192</v>
      </c>
      <c r="E6" s="3"/>
      <c r="F6" s="4">
        <v>30</v>
      </c>
      <c r="G6" s="4">
        <v>30</v>
      </c>
      <c r="H6" s="4">
        <v>30</v>
      </c>
      <c r="I6" s="4"/>
      <c r="J6" s="4">
        <v>30</v>
      </c>
      <c r="K6" s="4">
        <v>20</v>
      </c>
      <c r="L6" s="4">
        <v>24</v>
      </c>
      <c r="M6" s="4">
        <v>30</v>
      </c>
      <c r="N6" s="4">
        <v>20</v>
      </c>
      <c r="O6" s="4">
        <v>24</v>
      </c>
      <c r="P6" s="4">
        <v>30</v>
      </c>
      <c r="Q6" s="4">
        <v>20</v>
      </c>
      <c r="R6" s="4">
        <v>24</v>
      </c>
      <c r="S6" s="4">
        <v>30</v>
      </c>
      <c r="T6" s="4">
        <v>24</v>
      </c>
      <c r="U6" s="5">
        <v>30</v>
      </c>
      <c r="V6" s="4">
        <v>30</v>
      </c>
      <c r="W6" s="4">
        <v>30</v>
      </c>
      <c r="X6" s="4">
        <v>20</v>
      </c>
      <c r="Y6" s="4">
        <v>24</v>
      </c>
      <c r="Z6" s="4">
        <v>20</v>
      </c>
      <c r="AA6" s="6">
        <v>30</v>
      </c>
      <c r="AB6" s="4">
        <f>SUM(Tabla1346591011127[[#This Row],[PUESTO 24 HORAS TODOS LOS DÍAS CON ARMA]:[PUESTO 8 HORAS DIURNAS TODOS LOS DIAS SIN ARMA]])</f>
        <v>550</v>
      </c>
    </row>
    <row r="7" spans="1:28" s="7" customFormat="1">
      <c r="A7" s="2"/>
      <c r="B7" s="3"/>
      <c r="C7" s="3"/>
      <c r="D7" s="3" t="s">
        <v>192</v>
      </c>
      <c r="E7" s="3"/>
      <c r="F7" s="4">
        <v>30</v>
      </c>
      <c r="G7" s="4">
        <v>30</v>
      </c>
      <c r="H7" s="4">
        <v>30</v>
      </c>
      <c r="I7" s="4"/>
      <c r="J7" s="4">
        <v>30</v>
      </c>
      <c r="K7" s="4">
        <v>20</v>
      </c>
      <c r="L7" s="4">
        <v>24</v>
      </c>
      <c r="M7" s="4">
        <v>30</v>
      </c>
      <c r="N7" s="4">
        <v>20</v>
      </c>
      <c r="O7" s="4">
        <v>24</v>
      </c>
      <c r="P7" s="4">
        <v>30</v>
      </c>
      <c r="Q7" s="4">
        <v>20</v>
      </c>
      <c r="R7" s="4">
        <v>24</v>
      </c>
      <c r="S7" s="4">
        <v>30</v>
      </c>
      <c r="T7" s="4">
        <v>24</v>
      </c>
      <c r="U7" s="5">
        <v>30</v>
      </c>
      <c r="V7" s="4">
        <v>30</v>
      </c>
      <c r="W7" s="4">
        <v>30</v>
      </c>
      <c r="X7" s="4">
        <v>20</v>
      </c>
      <c r="Y7" s="4">
        <v>24</v>
      </c>
      <c r="Z7" s="4">
        <v>20</v>
      </c>
      <c r="AA7" s="6">
        <v>30</v>
      </c>
      <c r="AB7" s="4">
        <f>SUM(Tabla1346591011127[[#This Row],[PUESTO 24 HORAS TODOS LOS DÍAS CON ARMA]:[PUESTO 8 HORAS DIURNAS TODOS LOS DIAS SIN ARMA]])</f>
        <v>550</v>
      </c>
    </row>
    <row r="8" spans="1:28">
      <c r="A8" s="8" t="s">
        <v>32</v>
      </c>
      <c r="B8" s="9" t="s">
        <v>33</v>
      </c>
      <c r="C8" s="9" t="s">
        <v>34</v>
      </c>
      <c r="D8" s="9" t="s">
        <v>35</v>
      </c>
      <c r="E8" s="10" t="s">
        <v>36</v>
      </c>
      <c r="F8" s="11">
        <v>0</v>
      </c>
      <c r="G8" s="11">
        <v>3</v>
      </c>
      <c r="H8" s="11">
        <v>0</v>
      </c>
      <c r="I8" s="11"/>
      <c r="J8" s="12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2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3">
        <v>0</v>
      </c>
      <c r="AB8" s="14">
        <f>SUM(Tabla1346591011127[[#This Row],[PUESTO 24 HORAS TODOS LOS DÍAS CON ARMA]:[PUESTO 8 HORAS DIURNAS TODOS LOS DIAS SIN ARMA]])</f>
        <v>5</v>
      </c>
    </row>
    <row r="9" spans="1:28">
      <c r="A9" s="8" t="s">
        <v>32</v>
      </c>
      <c r="B9" s="9" t="s">
        <v>33</v>
      </c>
      <c r="C9" s="9" t="s">
        <v>37</v>
      </c>
      <c r="D9" s="9" t="s">
        <v>35</v>
      </c>
      <c r="E9" s="10" t="s">
        <v>36</v>
      </c>
      <c r="F9" s="11">
        <v>0</v>
      </c>
      <c r="G9" s="11">
        <v>1</v>
      </c>
      <c r="H9" s="11">
        <v>0</v>
      </c>
      <c r="I9" s="11"/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3">
        <v>0</v>
      </c>
      <c r="AB9" s="15">
        <f>SUM(Tabla1346591011127[[#This Row],[PUESTO 24 HORAS TODOS LOS DÍAS CON ARMA]:[PUESTO 8 HORAS DIURNAS TODOS LOS DIAS SIN ARMA]])</f>
        <v>1</v>
      </c>
    </row>
    <row r="10" spans="1:28">
      <c r="A10" s="8" t="s">
        <v>32</v>
      </c>
      <c r="B10" s="9" t="s">
        <v>33</v>
      </c>
      <c r="C10" s="9" t="s">
        <v>38</v>
      </c>
      <c r="D10" s="9" t="s">
        <v>35</v>
      </c>
      <c r="E10" s="10" t="s">
        <v>36</v>
      </c>
      <c r="F10" s="11">
        <v>0</v>
      </c>
      <c r="G10" s="11">
        <v>1</v>
      </c>
      <c r="H10" s="11">
        <v>0</v>
      </c>
      <c r="I10" s="11"/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3">
        <v>0</v>
      </c>
      <c r="AB10" s="15">
        <f>SUM(Tabla1346591011127[[#This Row],[PUESTO 24 HORAS TODOS LOS DÍAS CON ARMA]:[PUESTO 8 HORAS DIURNAS TODOS LOS DIAS SIN ARMA]])</f>
        <v>1</v>
      </c>
    </row>
    <row r="11" spans="1:28">
      <c r="A11" s="8" t="s">
        <v>32</v>
      </c>
      <c r="B11" s="9" t="s">
        <v>33</v>
      </c>
      <c r="C11" s="9" t="s">
        <v>39</v>
      </c>
      <c r="D11" s="9" t="s">
        <v>35</v>
      </c>
      <c r="E11" s="10" t="s">
        <v>36</v>
      </c>
      <c r="F11" s="11">
        <v>0</v>
      </c>
      <c r="G11" s="11">
        <v>1</v>
      </c>
      <c r="H11" s="11">
        <v>0</v>
      </c>
      <c r="I11" s="11"/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3">
        <v>0</v>
      </c>
      <c r="AB11" s="15">
        <f>SUM(Tabla1346591011127[[#This Row],[PUESTO 24 HORAS TODOS LOS DÍAS CON ARMA]:[PUESTO 8 HORAS DIURNAS TODOS LOS DIAS SIN ARMA]])</f>
        <v>1</v>
      </c>
    </row>
    <row r="12" spans="1:28">
      <c r="A12" s="8" t="s">
        <v>32</v>
      </c>
      <c r="B12" s="9" t="s">
        <v>33</v>
      </c>
      <c r="C12" s="9" t="s">
        <v>40</v>
      </c>
      <c r="D12" s="9" t="s">
        <v>35</v>
      </c>
      <c r="E12" s="10" t="s">
        <v>36</v>
      </c>
      <c r="F12" s="11">
        <v>0</v>
      </c>
      <c r="G12" s="11">
        <v>1</v>
      </c>
      <c r="H12" s="11">
        <v>0</v>
      </c>
      <c r="I12" s="11"/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3">
        <v>0</v>
      </c>
      <c r="AB12" s="15">
        <f>SUM(Tabla1346591011127[[#This Row],[PUESTO 24 HORAS TODOS LOS DÍAS CON ARMA]:[PUESTO 8 HORAS DIURNAS TODOS LOS DIAS SIN ARMA]])</f>
        <v>1</v>
      </c>
    </row>
    <row r="13" spans="1:28">
      <c r="A13" s="8" t="s">
        <v>32</v>
      </c>
      <c r="B13" s="9" t="s">
        <v>33</v>
      </c>
      <c r="C13" s="9" t="s">
        <v>41</v>
      </c>
      <c r="D13" s="9" t="s">
        <v>35</v>
      </c>
      <c r="E13" s="10" t="s">
        <v>36</v>
      </c>
      <c r="F13" s="11">
        <v>0</v>
      </c>
      <c r="G13" s="11">
        <v>1</v>
      </c>
      <c r="H13" s="11">
        <v>0</v>
      </c>
      <c r="I13" s="11"/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3">
        <v>0</v>
      </c>
      <c r="AB13" s="15">
        <f>SUM(Tabla1346591011127[[#This Row],[PUESTO 24 HORAS TODOS LOS DÍAS CON ARMA]:[PUESTO 8 HORAS DIURNAS TODOS LOS DIAS SIN ARMA]])</f>
        <v>1</v>
      </c>
    </row>
    <row r="14" spans="1:28">
      <c r="A14" s="8" t="s">
        <v>32</v>
      </c>
      <c r="B14" s="9" t="s">
        <v>33</v>
      </c>
      <c r="C14" s="9" t="s">
        <v>42</v>
      </c>
      <c r="D14" s="9" t="s">
        <v>35</v>
      </c>
      <c r="E14" s="10" t="s">
        <v>36</v>
      </c>
      <c r="F14" s="11">
        <v>0</v>
      </c>
      <c r="G14" s="11">
        <v>1</v>
      </c>
      <c r="H14" s="11">
        <v>0</v>
      </c>
      <c r="I14" s="11"/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3">
        <v>0</v>
      </c>
      <c r="AB14" s="15">
        <f>SUM(Tabla1346591011127[[#This Row],[PUESTO 24 HORAS TODOS LOS DÍAS CON ARMA]:[PUESTO 8 HORAS DIURNAS TODOS LOS DIAS SIN ARMA]])</f>
        <v>1</v>
      </c>
    </row>
    <row r="15" spans="1:28">
      <c r="A15" s="8" t="s">
        <v>32</v>
      </c>
      <c r="B15" s="9" t="s">
        <v>43</v>
      </c>
      <c r="C15" s="9" t="s">
        <v>44</v>
      </c>
      <c r="D15" s="9" t="s">
        <v>45</v>
      </c>
      <c r="E15" s="10" t="s">
        <v>46</v>
      </c>
      <c r="F15" s="11">
        <v>1</v>
      </c>
      <c r="G15" s="11">
        <v>5</v>
      </c>
      <c r="H15" s="11">
        <v>1</v>
      </c>
      <c r="I15" s="11"/>
      <c r="J15" s="11">
        <v>2</v>
      </c>
      <c r="K15" s="11">
        <v>0</v>
      </c>
      <c r="L15" s="11">
        <v>1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1</v>
      </c>
      <c r="S15" s="11">
        <v>0</v>
      </c>
      <c r="T15" s="11">
        <v>0</v>
      </c>
      <c r="U15" s="11">
        <v>1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3">
        <v>0</v>
      </c>
      <c r="AB15" s="15">
        <f>SUM(Tabla1346591011127[[#This Row],[PUESTO 24 HORAS TODOS LOS DÍAS CON ARMA]:[PUESTO 8 HORAS DIURNAS TODOS LOS DIAS SIN ARMA]])</f>
        <v>12</v>
      </c>
    </row>
    <row r="16" spans="1:28">
      <c r="A16" s="8" t="s">
        <v>32</v>
      </c>
      <c r="B16" s="9" t="s">
        <v>47</v>
      </c>
      <c r="C16" s="9" t="s">
        <v>48</v>
      </c>
      <c r="D16" s="9" t="s">
        <v>49</v>
      </c>
      <c r="E16" s="10" t="s">
        <v>50</v>
      </c>
      <c r="F16" s="11">
        <v>0</v>
      </c>
      <c r="G16" s="11">
        <v>0</v>
      </c>
      <c r="H16" s="11">
        <v>0</v>
      </c>
      <c r="I16" s="11"/>
      <c r="J16" s="11">
        <v>0</v>
      </c>
      <c r="K16" s="11">
        <v>0</v>
      </c>
      <c r="L16" s="11">
        <v>1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3">
        <v>0</v>
      </c>
      <c r="AB16" s="15">
        <f>SUM(Tabla1346591011127[[#This Row],[PUESTO 24 HORAS TODOS LOS DÍAS CON ARMA]:[PUESTO 8 HORAS DIURNAS TODOS LOS DIAS SIN ARMA]])</f>
        <v>1</v>
      </c>
    </row>
    <row r="17" spans="1:28">
      <c r="A17" s="8" t="s">
        <v>32</v>
      </c>
      <c r="B17" s="9" t="s">
        <v>51</v>
      </c>
      <c r="C17" s="9" t="s">
        <v>52</v>
      </c>
      <c r="D17" s="9" t="s">
        <v>49</v>
      </c>
      <c r="E17" s="10" t="s">
        <v>50</v>
      </c>
      <c r="F17" s="11">
        <v>0</v>
      </c>
      <c r="G17" s="11">
        <v>6</v>
      </c>
      <c r="H17" s="11">
        <v>1</v>
      </c>
      <c r="I17" s="11"/>
      <c r="J17" s="11">
        <v>0</v>
      </c>
      <c r="K17" s="11">
        <v>0</v>
      </c>
      <c r="L17" s="11">
        <v>1</v>
      </c>
      <c r="M17" s="11">
        <v>0</v>
      </c>
      <c r="N17" s="11">
        <v>0</v>
      </c>
      <c r="O17" s="11">
        <v>3</v>
      </c>
      <c r="P17" s="11">
        <v>0</v>
      </c>
      <c r="Q17" s="11">
        <v>0</v>
      </c>
      <c r="R17" s="11">
        <v>2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3">
        <v>0</v>
      </c>
      <c r="AB17" s="15">
        <f>SUM(Tabla1346591011127[[#This Row],[PUESTO 24 HORAS TODOS LOS DÍAS CON ARMA]:[PUESTO 8 HORAS DIURNAS TODOS LOS DIAS SIN ARMA]])</f>
        <v>13</v>
      </c>
    </row>
    <row r="18" spans="1:28">
      <c r="A18" s="8" t="s">
        <v>32</v>
      </c>
      <c r="B18" s="9" t="s">
        <v>51</v>
      </c>
      <c r="C18" s="9" t="s">
        <v>53</v>
      </c>
      <c r="D18" s="9" t="s">
        <v>49</v>
      </c>
      <c r="E18" s="10" t="s">
        <v>50</v>
      </c>
      <c r="F18" s="11">
        <v>0</v>
      </c>
      <c r="G18" s="11">
        <v>1</v>
      </c>
      <c r="H18" s="11">
        <v>0</v>
      </c>
      <c r="I18" s="11"/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3">
        <v>0</v>
      </c>
      <c r="AB18" s="15">
        <f>SUM(Tabla1346591011127[[#This Row],[PUESTO 24 HORAS TODOS LOS DÍAS CON ARMA]:[PUESTO 8 HORAS DIURNAS TODOS LOS DIAS SIN ARMA]])</f>
        <v>1</v>
      </c>
    </row>
    <row r="19" spans="1:28">
      <c r="A19" s="8" t="s">
        <v>32</v>
      </c>
      <c r="B19" s="9" t="s">
        <v>51</v>
      </c>
      <c r="C19" s="9" t="s">
        <v>54</v>
      </c>
      <c r="D19" s="9" t="s">
        <v>49</v>
      </c>
      <c r="E19" s="10" t="s">
        <v>50</v>
      </c>
      <c r="F19" s="11">
        <v>0</v>
      </c>
      <c r="G19" s="11">
        <v>1</v>
      </c>
      <c r="H19" s="11">
        <v>0</v>
      </c>
      <c r="I19" s="11"/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3">
        <v>0</v>
      </c>
      <c r="AB19" s="15">
        <f>SUM(Tabla1346591011127[[#This Row],[PUESTO 24 HORAS TODOS LOS DÍAS CON ARMA]:[PUESTO 8 HORAS DIURNAS TODOS LOS DIAS SIN ARMA]])</f>
        <v>1</v>
      </c>
    </row>
    <row r="20" spans="1:28">
      <c r="A20" s="8" t="s">
        <v>32</v>
      </c>
      <c r="B20" s="9" t="s">
        <v>55</v>
      </c>
      <c r="C20" s="9" t="s">
        <v>56</v>
      </c>
      <c r="D20" s="9" t="s">
        <v>49</v>
      </c>
      <c r="E20" s="10" t="s">
        <v>50</v>
      </c>
      <c r="F20" s="11">
        <v>0</v>
      </c>
      <c r="G20" s="11">
        <v>0</v>
      </c>
      <c r="H20" s="11">
        <v>0</v>
      </c>
      <c r="I20" s="11"/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3">
        <v>0</v>
      </c>
      <c r="AB20" s="15">
        <f>SUM(Tabla1346591011127[[#This Row],[PUESTO 24 HORAS TODOS LOS DÍAS CON ARMA]:[PUESTO 8 HORAS DIURNAS TODOS LOS DIAS SIN ARMA]])</f>
        <v>0</v>
      </c>
    </row>
    <row r="21" spans="1:28">
      <c r="A21" s="8" t="s">
        <v>32</v>
      </c>
      <c r="B21" s="9" t="s">
        <v>57</v>
      </c>
      <c r="C21" s="9" t="s">
        <v>58</v>
      </c>
      <c r="D21" s="9" t="s">
        <v>49</v>
      </c>
      <c r="E21" s="10" t="s">
        <v>50</v>
      </c>
      <c r="F21" s="11">
        <v>0</v>
      </c>
      <c r="G21" s="11">
        <v>1</v>
      </c>
      <c r="H21" s="11">
        <v>0</v>
      </c>
      <c r="I21" s="11"/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3">
        <v>0</v>
      </c>
      <c r="AB21" s="15">
        <f>SUM(Tabla1346591011127[[#This Row],[PUESTO 24 HORAS TODOS LOS DÍAS CON ARMA]:[PUESTO 8 HORAS DIURNAS TODOS LOS DIAS SIN ARMA]])</f>
        <v>2</v>
      </c>
    </row>
    <row r="22" spans="1:28">
      <c r="A22" s="8" t="s">
        <v>32</v>
      </c>
      <c r="B22" s="9" t="s">
        <v>59</v>
      </c>
      <c r="C22" s="9" t="s">
        <v>60</v>
      </c>
      <c r="D22" s="9" t="s">
        <v>49</v>
      </c>
      <c r="E22" s="10" t="s">
        <v>50</v>
      </c>
      <c r="F22" s="11">
        <v>0</v>
      </c>
      <c r="G22" s="11">
        <v>2</v>
      </c>
      <c r="H22" s="11">
        <v>0</v>
      </c>
      <c r="I22" s="11"/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1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3">
        <v>0</v>
      </c>
      <c r="AB22" s="15">
        <f>SUM(Tabla1346591011127[[#This Row],[PUESTO 24 HORAS TODOS LOS DÍAS CON ARMA]:[PUESTO 8 HORAS DIURNAS TODOS LOS DIAS SIN ARMA]])</f>
        <v>4</v>
      </c>
    </row>
    <row r="23" spans="1:28">
      <c r="A23" s="8" t="s">
        <v>32</v>
      </c>
      <c r="B23" s="9" t="s">
        <v>61</v>
      </c>
      <c r="C23" s="9" t="s">
        <v>62</v>
      </c>
      <c r="D23" s="9" t="s">
        <v>49</v>
      </c>
      <c r="E23" s="10" t="s">
        <v>50</v>
      </c>
      <c r="F23" s="11">
        <v>0</v>
      </c>
      <c r="G23" s="11">
        <v>1</v>
      </c>
      <c r="H23" s="11">
        <v>0</v>
      </c>
      <c r="I23" s="11"/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1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3">
        <v>0</v>
      </c>
      <c r="AB23" s="15">
        <f>SUM(Tabla1346591011127[[#This Row],[PUESTO 24 HORAS TODOS LOS DÍAS CON ARMA]:[PUESTO 8 HORAS DIURNAS TODOS LOS DIAS SIN ARMA]])</f>
        <v>2</v>
      </c>
    </row>
    <row r="24" spans="1:28">
      <c r="A24" s="8" t="s">
        <v>32</v>
      </c>
      <c r="B24" s="9" t="s">
        <v>63</v>
      </c>
      <c r="C24" s="9" t="s">
        <v>64</v>
      </c>
      <c r="D24" s="9" t="s">
        <v>65</v>
      </c>
      <c r="E24" s="10" t="s">
        <v>46</v>
      </c>
      <c r="F24" s="11">
        <v>0</v>
      </c>
      <c r="G24" s="11">
        <v>1</v>
      </c>
      <c r="H24" s="11">
        <v>0</v>
      </c>
      <c r="I24" s="11"/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3">
        <v>0</v>
      </c>
      <c r="AB24" s="15">
        <f>SUM(Tabla1346591011127[[#This Row],[PUESTO 24 HORAS TODOS LOS DÍAS CON ARMA]:[PUESTO 8 HORAS DIURNAS TODOS LOS DIAS SIN ARMA]])</f>
        <v>1</v>
      </c>
    </row>
    <row r="25" spans="1:28">
      <c r="A25" s="8" t="s">
        <v>32</v>
      </c>
      <c r="B25" s="9" t="s">
        <v>66</v>
      </c>
      <c r="C25" s="9" t="s">
        <v>67</v>
      </c>
      <c r="D25" s="9" t="s">
        <v>65</v>
      </c>
      <c r="E25" s="10" t="s">
        <v>46</v>
      </c>
      <c r="F25" s="11">
        <v>0</v>
      </c>
      <c r="G25" s="11">
        <v>1</v>
      </c>
      <c r="H25" s="11">
        <v>1</v>
      </c>
      <c r="I25" s="11"/>
      <c r="J25" s="11">
        <v>1</v>
      </c>
      <c r="K25" s="11">
        <v>0</v>
      </c>
      <c r="L25" s="11">
        <v>1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2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3">
        <v>0</v>
      </c>
      <c r="AB25" s="15">
        <f>SUM(Tabla1346591011127[[#This Row],[PUESTO 24 HORAS TODOS LOS DÍAS CON ARMA]:[PUESTO 8 HORAS DIURNAS TODOS LOS DIAS SIN ARMA]])</f>
        <v>6</v>
      </c>
    </row>
    <row r="26" spans="1:28">
      <c r="A26" s="8" t="s">
        <v>32</v>
      </c>
      <c r="B26" s="9" t="s">
        <v>55</v>
      </c>
      <c r="C26" s="9" t="s">
        <v>68</v>
      </c>
      <c r="D26" s="9" t="s">
        <v>65</v>
      </c>
      <c r="E26" s="10" t="s">
        <v>50</v>
      </c>
      <c r="F26" s="11">
        <v>0</v>
      </c>
      <c r="G26" s="11">
        <v>0</v>
      </c>
      <c r="H26" s="11">
        <v>0</v>
      </c>
      <c r="I26" s="11"/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3">
        <v>0</v>
      </c>
      <c r="AB26" s="15">
        <f>SUM(Tabla1346591011127[[#This Row],[PUESTO 24 HORAS TODOS LOS DÍAS CON ARMA]:[PUESTO 8 HORAS DIURNAS TODOS LOS DIAS SIN ARMA]])</f>
        <v>0</v>
      </c>
    </row>
    <row r="27" spans="1:28">
      <c r="A27" s="8" t="s">
        <v>69</v>
      </c>
      <c r="B27" s="9" t="s">
        <v>70</v>
      </c>
      <c r="C27" s="9" t="s">
        <v>71</v>
      </c>
      <c r="D27" s="9" t="s">
        <v>72</v>
      </c>
      <c r="E27" s="10" t="s">
        <v>50</v>
      </c>
      <c r="F27" s="11">
        <v>0</v>
      </c>
      <c r="G27" s="11">
        <v>1</v>
      </c>
      <c r="H27" s="11">
        <v>0</v>
      </c>
      <c r="I27" s="11"/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3">
        <v>0</v>
      </c>
      <c r="AB27" s="15">
        <f>SUM(Tabla1346591011127[[#This Row],[PUESTO 24 HORAS TODOS LOS DÍAS CON ARMA]:[PUESTO 8 HORAS DIURNAS TODOS LOS DIAS SIN ARMA]])</f>
        <v>1</v>
      </c>
    </row>
    <row r="28" spans="1:28">
      <c r="A28" s="8" t="s">
        <v>69</v>
      </c>
      <c r="B28" s="9" t="s">
        <v>73</v>
      </c>
      <c r="C28" s="9" t="s">
        <v>74</v>
      </c>
      <c r="D28" s="9" t="s">
        <v>72</v>
      </c>
      <c r="E28" s="10" t="s">
        <v>50</v>
      </c>
      <c r="F28" s="11">
        <v>2</v>
      </c>
      <c r="G28" s="11">
        <v>5</v>
      </c>
      <c r="H28" s="11">
        <v>1</v>
      </c>
      <c r="I28" s="11"/>
      <c r="J28" s="11">
        <v>1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3">
        <v>0</v>
      </c>
      <c r="AB28" s="15">
        <f>SUM(Tabla1346591011127[[#This Row],[PUESTO 24 HORAS TODOS LOS DÍAS CON ARMA]:[PUESTO 8 HORAS DIURNAS TODOS LOS DIAS SIN ARMA]])</f>
        <v>9</v>
      </c>
    </row>
    <row r="29" spans="1:28">
      <c r="A29" s="8" t="s">
        <v>32</v>
      </c>
      <c r="B29" s="9" t="s">
        <v>75</v>
      </c>
      <c r="C29" s="9" t="s">
        <v>76</v>
      </c>
      <c r="D29" s="9" t="s">
        <v>77</v>
      </c>
      <c r="E29" s="10" t="s">
        <v>50</v>
      </c>
      <c r="F29" s="11">
        <v>0</v>
      </c>
      <c r="G29" s="11">
        <v>0</v>
      </c>
      <c r="H29" s="11">
        <v>1</v>
      </c>
      <c r="I29" s="11"/>
      <c r="J29" s="11">
        <v>0</v>
      </c>
      <c r="K29" s="11">
        <v>0</v>
      </c>
      <c r="L29" s="11">
        <v>1</v>
      </c>
      <c r="M29" s="11">
        <v>0</v>
      </c>
      <c r="N29" s="11">
        <v>1</v>
      </c>
      <c r="O29" s="11">
        <v>0</v>
      </c>
      <c r="P29" s="11">
        <v>1</v>
      </c>
      <c r="Q29" s="11">
        <v>0</v>
      </c>
      <c r="R29" s="11">
        <v>0</v>
      </c>
      <c r="S29" s="11">
        <v>0</v>
      </c>
      <c r="T29" s="11">
        <v>0</v>
      </c>
      <c r="U29" s="11">
        <v>1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3">
        <v>0</v>
      </c>
      <c r="AB29" s="15">
        <f>SUM(Tabla1346591011127[[#This Row],[PUESTO 24 HORAS TODOS LOS DÍAS CON ARMA]:[PUESTO 8 HORAS DIURNAS TODOS LOS DIAS SIN ARMA]])</f>
        <v>5</v>
      </c>
    </row>
    <row r="30" spans="1:28">
      <c r="A30" s="8" t="s">
        <v>32</v>
      </c>
      <c r="B30" s="9" t="s">
        <v>75</v>
      </c>
      <c r="C30" s="9" t="s">
        <v>78</v>
      </c>
      <c r="D30" s="9" t="s">
        <v>77</v>
      </c>
      <c r="E30" s="10" t="s">
        <v>50</v>
      </c>
      <c r="F30" s="11">
        <v>0</v>
      </c>
      <c r="G30" s="11">
        <v>0</v>
      </c>
      <c r="H30" s="11">
        <v>0</v>
      </c>
      <c r="I30" s="11"/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1</v>
      </c>
      <c r="Q30" s="11">
        <v>0</v>
      </c>
      <c r="R30" s="11">
        <v>0</v>
      </c>
      <c r="S30" s="11">
        <v>0</v>
      </c>
      <c r="T30" s="11">
        <v>0</v>
      </c>
      <c r="U30" s="11">
        <v>1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3">
        <v>0</v>
      </c>
      <c r="AB30" s="15">
        <f>SUM(Tabla1346591011127[[#This Row],[PUESTO 24 HORAS TODOS LOS DÍAS CON ARMA]:[PUESTO 8 HORAS DIURNAS TODOS LOS DIAS SIN ARMA]])</f>
        <v>2</v>
      </c>
    </row>
    <row r="31" spans="1:28">
      <c r="A31" s="8" t="s">
        <v>79</v>
      </c>
      <c r="B31" s="9" t="s">
        <v>80</v>
      </c>
      <c r="C31" s="9" t="s">
        <v>81</v>
      </c>
      <c r="D31" s="9" t="s">
        <v>82</v>
      </c>
      <c r="E31" s="10" t="s">
        <v>50</v>
      </c>
      <c r="F31" s="11">
        <v>0</v>
      </c>
      <c r="G31" s="11">
        <v>1</v>
      </c>
      <c r="H31" s="11">
        <v>0</v>
      </c>
      <c r="I31" s="11"/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3">
        <v>0</v>
      </c>
      <c r="AB31" s="15">
        <f>SUM(Tabla1346591011127[[#This Row],[PUESTO 24 HORAS TODOS LOS DÍAS CON ARMA]:[PUESTO 8 HORAS DIURNAS TODOS LOS DIAS SIN ARMA]])</f>
        <v>1</v>
      </c>
    </row>
    <row r="32" spans="1:28">
      <c r="A32" s="8" t="s">
        <v>79</v>
      </c>
      <c r="B32" s="9" t="s">
        <v>83</v>
      </c>
      <c r="C32" s="9" t="s">
        <v>84</v>
      </c>
      <c r="D32" s="9" t="s">
        <v>82</v>
      </c>
      <c r="E32" s="10" t="s">
        <v>50</v>
      </c>
      <c r="F32" s="11">
        <v>0</v>
      </c>
      <c r="G32" s="11">
        <v>2</v>
      </c>
      <c r="H32" s="11">
        <v>1</v>
      </c>
      <c r="I32" s="11"/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2</v>
      </c>
      <c r="P32" s="11">
        <v>2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3">
        <v>0</v>
      </c>
      <c r="AB32" s="15">
        <f>SUM(Tabla1346591011127[[#This Row],[PUESTO 24 HORAS TODOS LOS DÍAS CON ARMA]:[PUESTO 8 HORAS DIURNAS TODOS LOS DIAS SIN ARMA]])</f>
        <v>9</v>
      </c>
    </row>
    <row r="33" spans="1:28">
      <c r="A33" s="8" t="s">
        <v>79</v>
      </c>
      <c r="B33" s="9" t="s">
        <v>85</v>
      </c>
      <c r="C33" s="9" t="s">
        <v>86</v>
      </c>
      <c r="D33" s="9" t="s">
        <v>82</v>
      </c>
      <c r="E33" s="10" t="s">
        <v>50</v>
      </c>
      <c r="F33" s="11">
        <v>0</v>
      </c>
      <c r="G33" s="11">
        <v>1</v>
      </c>
      <c r="H33" s="11">
        <v>0</v>
      </c>
      <c r="I33" s="11"/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3">
        <v>0</v>
      </c>
      <c r="AB33" s="15">
        <f>SUM(Tabla1346591011127[[#This Row],[PUESTO 24 HORAS TODOS LOS DÍAS CON ARMA]:[PUESTO 8 HORAS DIURNAS TODOS LOS DIAS SIN ARMA]])</f>
        <v>1</v>
      </c>
    </row>
    <row r="34" spans="1:28">
      <c r="A34" s="8" t="s">
        <v>69</v>
      </c>
      <c r="B34" s="9" t="s">
        <v>87</v>
      </c>
      <c r="C34" s="9" t="s">
        <v>88</v>
      </c>
      <c r="D34" s="9" t="s">
        <v>89</v>
      </c>
      <c r="E34" s="10" t="s">
        <v>50</v>
      </c>
      <c r="F34" s="11">
        <v>0</v>
      </c>
      <c r="G34" s="11">
        <v>2</v>
      </c>
      <c r="H34" s="11">
        <v>0</v>
      </c>
      <c r="I34" s="11"/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1</v>
      </c>
      <c r="Z34" s="11">
        <v>0</v>
      </c>
      <c r="AA34" s="13">
        <v>0</v>
      </c>
      <c r="AB34" s="15">
        <f>SUM(Tabla1346591011127[[#This Row],[PUESTO 24 HORAS TODOS LOS DÍAS CON ARMA]:[PUESTO 8 HORAS DIURNAS TODOS LOS DIAS SIN ARMA]])</f>
        <v>3</v>
      </c>
    </row>
    <row r="35" spans="1:28">
      <c r="A35" s="8" t="s">
        <v>69</v>
      </c>
      <c r="B35" s="9" t="s">
        <v>90</v>
      </c>
      <c r="C35" s="9" t="s">
        <v>91</v>
      </c>
      <c r="D35" s="9" t="s">
        <v>89</v>
      </c>
      <c r="E35" s="10" t="s">
        <v>50</v>
      </c>
      <c r="F35" s="11">
        <v>0</v>
      </c>
      <c r="G35" s="11">
        <v>3</v>
      </c>
      <c r="H35" s="11">
        <v>0</v>
      </c>
      <c r="I35" s="11"/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3">
        <v>0</v>
      </c>
      <c r="AB35" s="15">
        <f>SUM(Tabla1346591011127[[#This Row],[PUESTO 24 HORAS TODOS LOS DÍAS CON ARMA]:[PUESTO 8 HORAS DIURNAS TODOS LOS DIAS SIN ARMA]])</f>
        <v>3</v>
      </c>
    </row>
    <row r="36" spans="1:28">
      <c r="A36" s="8" t="s">
        <v>69</v>
      </c>
      <c r="B36" s="9" t="s">
        <v>90</v>
      </c>
      <c r="C36" s="9" t="s">
        <v>92</v>
      </c>
      <c r="D36" s="9" t="s">
        <v>89</v>
      </c>
      <c r="E36" s="10" t="s">
        <v>50</v>
      </c>
      <c r="F36" s="11">
        <v>0</v>
      </c>
      <c r="G36" s="11">
        <v>0</v>
      </c>
      <c r="H36" s="11">
        <v>0</v>
      </c>
      <c r="I36" s="11"/>
      <c r="J36" s="11">
        <v>0</v>
      </c>
      <c r="K36" s="11">
        <v>0</v>
      </c>
      <c r="L36" s="11">
        <v>0</v>
      </c>
      <c r="M36" s="11">
        <v>1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1</v>
      </c>
      <c r="W36" s="11">
        <v>0</v>
      </c>
      <c r="X36" s="11">
        <v>0</v>
      </c>
      <c r="Y36" s="11">
        <v>0</v>
      </c>
      <c r="Z36" s="11">
        <v>0</v>
      </c>
      <c r="AA36" s="13">
        <v>0</v>
      </c>
      <c r="AB36" s="15">
        <f>SUM(Tabla1346591011127[[#This Row],[PUESTO 24 HORAS TODOS LOS DÍAS CON ARMA]:[PUESTO 8 HORAS DIURNAS TODOS LOS DIAS SIN ARMA]])</f>
        <v>2</v>
      </c>
    </row>
    <row r="37" spans="1:28">
      <c r="A37" s="8" t="s">
        <v>93</v>
      </c>
      <c r="B37" s="9" t="s">
        <v>94</v>
      </c>
      <c r="C37" s="9" t="s">
        <v>95</v>
      </c>
      <c r="D37" s="9" t="s">
        <v>96</v>
      </c>
      <c r="E37" s="10" t="s">
        <v>36</v>
      </c>
      <c r="F37" s="11">
        <v>0</v>
      </c>
      <c r="G37" s="11">
        <v>1</v>
      </c>
      <c r="H37" s="11">
        <v>0</v>
      </c>
      <c r="I37" s="11"/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3">
        <v>0</v>
      </c>
      <c r="AB37" s="15">
        <f>SUM(Tabla1346591011127[[#This Row],[PUESTO 24 HORAS TODOS LOS DÍAS CON ARMA]:[PUESTO 8 HORAS DIURNAS TODOS LOS DIAS SIN ARMA]])</f>
        <v>1</v>
      </c>
    </row>
    <row r="38" spans="1:28">
      <c r="A38" s="8" t="s">
        <v>97</v>
      </c>
      <c r="B38" s="9" t="s">
        <v>98</v>
      </c>
      <c r="C38" s="9" t="s">
        <v>99</v>
      </c>
      <c r="D38" s="9" t="s">
        <v>100</v>
      </c>
      <c r="E38" s="10" t="s">
        <v>46</v>
      </c>
      <c r="F38" s="11">
        <v>2</v>
      </c>
      <c r="G38" s="11">
        <v>0</v>
      </c>
      <c r="H38" s="11">
        <v>0</v>
      </c>
      <c r="I38" s="11"/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3">
        <v>0</v>
      </c>
      <c r="AB38" s="15">
        <f>SUM(Tabla1346591011127[[#This Row],[PUESTO 24 HORAS TODOS LOS DÍAS CON ARMA]:[PUESTO 8 HORAS DIURNAS TODOS LOS DIAS SIN ARMA]])</f>
        <v>2</v>
      </c>
    </row>
    <row r="39" spans="1:28">
      <c r="A39" s="8" t="s">
        <v>97</v>
      </c>
      <c r="B39" s="9" t="s">
        <v>98</v>
      </c>
      <c r="C39" s="9" t="s">
        <v>101</v>
      </c>
      <c r="D39" s="9" t="s">
        <v>100</v>
      </c>
      <c r="E39" s="10" t="s">
        <v>46</v>
      </c>
      <c r="F39" s="11">
        <v>0</v>
      </c>
      <c r="G39" s="11">
        <v>1</v>
      </c>
      <c r="H39" s="11">
        <v>0</v>
      </c>
      <c r="I39" s="11"/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3">
        <v>0</v>
      </c>
      <c r="AB39" s="15">
        <f>SUM(Tabla1346591011127[[#This Row],[PUESTO 24 HORAS TODOS LOS DÍAS CON ARMA]:[PUESTO 8 HORAS DIURNAS TODOS LOS DIAS SIN ARMA]])</f>
        <v>1</v>
      </c>
    </row>
    <row r="40" spans="1:28">
      <c r="A40" s="8" t="s">
        <v>97</v>
      </c>
      <c r="B40" s="9" t="s">
        <v>98</v>
      </c>
      <c r="C40" s="9" t="s">
        <v>102</v>
      </c>
      <c r="D40" s="9" t="s">
        <v>100</v>
      </c>
      <c r="E40" s="10" t="s">
        <v>46</v>
      </c>
      <c r="F40" s="11">
        <v>2</v>
      </c>
      <c r="G40" s="11">
        <v>1</v>
      </c>
      <c r="H40" s="11">
        <v>0</v>
      </c>
      <c r="I40" s="11"/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3">
        <v>0</v>
      </c>
      <c r="AB40" s="15">
        <f>SUM(Tabla1346591011127[[#This Row],[PUESTO 24 HORAS TODOS LOS DÍAS CON ARMA]:[PUESTO 8 HORAS DIURNAS TODOS LOS DIAS SIN ARMA]])</f>
        <v>3</v>
      </c>
    </row>
    <row r="41" spans="1:28">
      <c r="A41" s="8" t="s">
        <v>69</v>
      </c>
      <c r="B41" s="9" t="s">
        <v>103</v>
      </c>
      <c r="C41" s="9" t="s">
        <v>104</v>
      </c>
      <c r="D41" s="9" t="s">
        <v>105</v>
      </c>
      <c r="E41" s="10" t="s">
        <v>50</v>
      </c>
      <c r="F41" s="11">
        <v>0</v>
      </c>
      <c r="G41" s="11">
        <v>2</v>
      </c>
      <c r="H41" s="11">
        <v>0</v>
      </c>
      <c r="I41" s="11"/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3">
        <v>0</v>
      </c>
      <c r="AB41" s="15">
        <f>SUM(Tabla1346591011127[[#This Row],[PUESTO 24 HORAS TODOS LOS DÍAS CON ARMA]:[PUESTO 8 HORAS DIURNAS TODOS LOS DIAS SIN ARMA]])</f>
        <v>3</v>
      </c>
    </row>
    <row r="42" spans="1:28">
      <c r="A42" s="8" t="s">
        <v>69</v>
      </c>
      <c r="B42" s="9" t="s">
        <v>103</v>
      </c>
      <c r="C42" s="9" t="s">
        <v>106</v>
      </c>
      <c r="D42" s="9" t="s">
        <v>105</v>
      </c>
      <c r="E42" s="10" t="s">
        <v>50</v>
      </c>
      <c r="F42" s="11">
        <v>0</v>
      </c>
      <c r="G42" s="11">
        <v>0</v>
      </c>
      <c r="H42" s="11">
        <v>0</v>
      </c>
      <c r="I42" s="11"/>
      <c r="J42" s="11">
        <v>1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3">
        <v>0</v>
      </c>
      <c r="AB42" s="15">
        <f>SUM(Tabla1346591011127[[#This Row],[PUESTO 24 HORAS TODOS LOS DÍAS CON ARMA]:[PUESTO 8 HORAS DIURNAS TODOS LOS DIAS SIN ARMA]])</f>
        <v>1</v>
      </c>
    </row>
    <row r="43" spans="1:28">
      <c r="A43" s="8" t="s">
        <v>97</v>
      </c>
      <c r="B43" s="9" t="s">
        <v>107</v>
      </c>
      <c r="C43" s="9" t="s">
        <v>108</v>
      </c>
      <c r="D43" s="9" t="s">
        <v>109</v>
      </c>
      <c r="E43" s="10" t="s">
        <v>46</v>
      </c>
      <c r="F43" s="11">
        <v>0</v>
      </c>
      <c r="G43" s="11">
        <v>1</v>
      </c>
      <c r="H43" s="11">
        <v>0</v>
      </c>
      <c r="I43" s="11"/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3">
        <v>0</v>
      </c>
      <c r="AB43" s="15">
        <f>SUM(Tabla1346591011127[[#This Row],[PUESTO 24 HORAS TODOS LOS DÍAS CON ARMA]:[PUESTO 8 HORAS DIURNAS TODOS LOS DIAS SIN ARMA]])</f>
        <v>1</v>
      </c>
    </row>
    <row r="44" spans="1:28">
      <c r="A44" s="8" t="s">
        <v>110</v>
      </c>
      <c r="B44" s="9" t="s">
        <v>111</v>
      </c>
      <c r="C44" s="9" t="s">
        <v>112</v>
      </c>
      <c r="D44" s="9" t="s">
        <v>113</v>
      </c>
      <c r="E44" s="10" t="s">
        <v>46</v>
      </c>
      <c r="F44" s="11">
        <v>0</v>
      </c>
      <c r="G44" s="11">
        <v>2</v>
      </c>
      <c r="H44" s="11">
        <v>0</v>
      </c>
      <c r="I44" s="11"/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3">
        <v>0</v>
      </c>
      <c r="AB44" s="15">
        <f>SUM(Tabla1346591011127[[#This Row],[PUESTO 24 HORAS TODOS LOS DÍAS CON ARMA]:[PUESTO 8 HORAS DIURNAS TODOS LOS DIAS SIN ARMA]])</f>
        <v>2</v>
      </c>
    </row>
    <row r="45" spans="1:28">
      <c r="A45" s="8" t="s">
        <v>69</v>
      </c>
      <c r="B45" s="9" t="s">
        <v>114</v>
      </c>
      <c r="C45" s="9" t="s">
        <v>115</v>
      </c>
      <c r="D45" s="9" t="s">
        <v>116</v>
      </c>
      <c r="E45" s="10" t="s">
        <v>50</v>
      </c>
      <c r="F45" s="11">
        <v>0</v>
      </c>
      <c r="G45" s="11">
        <v>1</v>
      </c>
      <c r="H45" s="11">
        <v>0</v>
      </c>
      <c r="I45" s="11"/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3">
        <v>0</v>
      </c>
      <c r="AB45" s="15">
        <f>SUM(Tabla1346591011127[[#This Row],[PUESTO 24 HORAS TODOS LOS DÍAS CON ARMA]:[PUESTO 8 HORAS DIURNAS TODOS LOS DIAS SIN ARMA]])</f>
        <v>1</v>
      </c>
    </row>
    <row r="46" spans="1:28">
      <c r="A46" s="8" t="s">
        <v>69</v>
      </c>
      <c r="B46" s="9" t="s">
        <v>114</v>
      </c>
      <c r="C46" s="9" t="s">
        <v>117</v>
      </c>
      <c r="D46" s="9" t="s">
        <v>116</v>
      </c>
      <c r="E46" s="10" t="s">
        <v>50</v>
      </c>
      <c r="F46" s="11">
        <v>0</v>
      </c>
      <c r="G46" s="11">
        <v>0</v>
      </c>
      <c r="H46" s="11">
        <v>0</v>
      </c>
      <c r="I46" s="11"/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3">
        <v>0</v>
      </c>
      <c r="AB46" s="15">
        <f>SUM(Tabla1346591011127[[#This Row],[PUESTO 24 HORAS TODOS LOS DÍAS CON ARMA]:[PUESTO 8 HORAS DIURNAS TODOS LOS DIAS SIN ARMA]])</f>
        <v>1</v>
      </c>
    </row>
    <row r="47" spans="1:28">
      <c r="A47" s="8" t="s">
        <v>69</v>
      </c>
      <c r="B47" s="9" t="s">
        <v>118</v>
      </c>
      <c r="C47" s="9" t="s">
        <v>119</v>
      </c>
      <c r="D47" s="9" t="s">
        <v>116</v>
      </c>
      <c r="E47" s="10" t="s">
        <v>50</v>
      </c>
      <c r="F47" s="11">
        <v>0</v>
      </c>
      <c r="G47" s="11">
        <v>2</v>
      </c>
      <c r="H47" s="11">
        <v>0</v>
      </c>
      <c r="I47" s="11"/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1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3">
        <v>0</v>
      </c>
      <c r="AB47" s="15">
        <f>SUM(Tabla1346591011127[[#This Row],[PUESTO 24 HORAS TODOS LOS DÍAS CON ARMA]:[PUESTO 8 HORAS DIURNAS TODOS LOS DIAS SIN ARMA]])</f>
        <v>5</v>
      </c>
    </row>
    <row r="48" spans="1:28">
      <c r="A48" s="8" t="s">
        <v>69</v>
      </c>
      <c r="B48" s="9" t="s">
        <v>118</v>
      </c>
      <c r="C48" s="9" t="s">
        <v>120</v>
      </c>
      <c r="D48" s="9" t="s">
        <v>116</v>
      </c>
      <c r="E48" s="10" t="s">
        <v>50</v>
      </c>
      <c r="F48" s="11">
        <v>0</v>
      </c>
      <c r="G48" s="11">
        <v>1</v>
      </c>
      <c r="H48" s="11">
        <v>0</v>
      </c>
      <c r="I48" s="11"/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3">
        <v>0</v>
      </c>
      <c r="AB48" s="15">
        <f>SUM(Tabla1346591011127[[#This Row],[PUESTO 24 HORAS TODOS LOS DÍAS CON ARMA]:[PUESTO 8 HORAS DIURNAS TODOS LOS DIAS SIN ARMA]])</f>
        <v>1</v>
      </c>
    </row>
    <row r="49" spans="1:28">
      <c r="A49" s="8" t="s">
        <v>69</v>
      </c>
      <c r="B49" s="9" t="s">
        <v>118</v>
      </c>
      <c r="C49" s="9" t="s">
        <v>121</v>
      </c>
      <c r="D49" s="9" t="s">
        <v>116</v>
      </c>
      <c r="E49" s="10" t="s">
        <v>50</v>
      </c>
      <c r="F49" s="11">
        <v>0</v>
      </c>
      <c r="G49" s="11">
        <v>3</v>
      </c>
      <c r="H49" s="11">
        <v>1</v>
      </c>
      <c r="I49" s="11"/>
      <c r="J49" s="11">
        <v>1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1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3">
        <v>0</v>
      </c>
      <c r="AB49" s="15">
        <f>SUM(Tabla1346591011127[[#This Row],[PUESTO 24 HORAS TODOS LOS DÍAS CON ARMA]:[PUESTO 8 HORAS DIURNAS TODOS LOS DIAS SIN ARMA]])</f>
        <v>6</v>
      </c>
    </row>
    <row r="50" spans="1:28">
      <c r="A50" s="8" t="s">
        <v>69</v>
      </c>
      <c r="B50" s="9" t="s">
        <v>118</v>
      </c>
      <c r="C50" s="9" t="s">
        <v>122</v>
      </c>
      <c r="D50" s="9" t="s">
        <v>116</v>
      </c>
      <c r="E50" s="10" t="s">
        <v>50</v>
      </c>
      <c r="F50" s="11">
        <v>0</v>
      </c>
      <c r="G50" s="11">
        <v>1</v>
      </c>
      <c r="H50" s="11">
        <v>0</v>
      </c>
      <c r="I50" s="11"/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3">
        <v>0</v>
      </c>
      <c r="AB50" s="15">
        <f>SUM(Tabla1346591011127[[#This Row],[PUESTO 24 HORAS TODOS LOS DÍAS CON ARMA]:[PUESTO 8 HORAS DIURNAS TODOS LOS DIAS SIN ARMA]])</f>
        <v>1</v>
      </c>
    </row>
    <row r="51" spans="1:28">
      <c r="A51" s="8" t="s">
        <v>69</v>
      </c>
      <c r="B51" s="9" t="s">
        <v>118</v>
      </c>
      <c r="C51" s="9" t="s">
        <v>123</v>
      </c>
      <c r="D51" s="9" t="s">
        <v>116</v>
      </c>
      <c r="E51" s="10" t="s">
        <v>50</v>
      </c>
      <c r="F51" s="11">
        <v>0</v>
      </c>
      <c r="G51" s="11">
        <v>2</v>
      </c>
      <c r="H51" s="11">
        <v>0</v>
      </c>
      <c r="I51" s="11"/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3">
        <v>0</v>
      </c>
      <c r="AB51" s="15">
        <f>SUM(Tabla1346591011127[[#This Row],[PUESTO 24 HORAS TODOS LOS DÍAS CON ARMA]:[PUESTO 8 HORAS DIURNAS TODOS LOS DIAS SIN ARMA]])</f>
        <v>2</v>
      </c>
    </row>
    <row r="52" spans="1:28">
      <c r="A52" s="8" t="s">
        <v>110</v>
      </c>
      <c r="B52" s="9" t="s">
        <v>111</v>
      </c>
      <c r="C52" s="9" t="s">
        <v>124</v>
      </c>
      <c r="D52" s="9" t="s">
        <v>125</v>
      </c>
      <c r="E52" s="10" t="s">
        <v>46</v>
      </c>
      <c r="F52" s="11">
        <v>0</v>
      </c>
      <c r="G52" s="11">
        <v>1</v>
      </c>
      <c r="H52" s="11">
        <v>0</v>
      </c>
      <c r="I52" s="11"/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3">
        <v>0</v>
      </c>
      <c r="AB52" s="15">
        <f>SUM(Tabla1346591011127[[#This Row],[PUESTO 24 HORAS TODOS LOS DÍAS CON ARMA]:[PUESTO 8 HORAS DIURNAS TODOS LOS DIAS SIN ARMA]])</f>
        <v>1</v>
      </c>
    </row>
    <row r="53" spans="1:28">
      <c r="A53" s="8" t="s">
        <v>32</v>
      </c>
      <c r="B53" s="9" t="s">
        <v>126</v>
      </c>
      <c r="C53" s="9" t="s">
        <v>127</v>
      </c>
      <c r="D53" s="9" t="s">
        <v>128</v>
      </c>
      <c r="E53" s="10" t="s">
        <v>46</v>
      </c>
      <c r="F53" s="11">
        <v>0</v>
      </c>
      <c r="G53" s="11">
        <v>0</v>
      </c>
      <c r="H53" s="11">
        <v>0</v>
      </c>
      <c r="I53" s="11"/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3">
        <v>0</v>
      </c>
      <c r="AB53" s="15">
        <f>SUM(Tabla1346591011127[[#This Row],[PUESTO 24 HORAS TODOS LOS DÍAS CON ARMA]:[PUESTO 8 HORAS DIURNAS TODOS LOS DIAS SIN ARMA]])</f>
        <v>1</v>
      </c>
    </row>
    <row r="54" spans="1:28">
      <c r="A54" s="8" t="s">
        <v>32</v>
      </c>
      <c r="B54" s="9" t="s">
        <v>126</v>
      </c>
      <c r="C54" s="9" t="s">
        <v>129</v>
      </c>
      <c r="D54" s="9" t="s">
        <v>128</v>
      </c>
      <c r="E54" s="10" t="s">
        <v>46</v>
      </c>
      <c r="F54" s="11">
        <v>1</v>
      </c>
      <c r="G54" s="11">
        <v>3</v>
      </c>
      <c r="H54" s="11">
        <v>1</v>
      </c>
      <c r="I54" s="11"/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3">
        <v>0</v>
      </c>
      <c r="AB54" s="15">
        <f>SUM(Tabla1346591011127[[#This Row],[PUESTO 24 HORAS TODOS LOS DÍAS CON ARMA]:[PUESTO 8 HORAS DIURNAS TODOS LOS DIAS SIN ARMA]])</f>
        <v>7</v>
      </c>
    </row>
    <row r="55" spans="1:28">
      <c r="A55" s="8" t="s">
        <v>32</v>
      </c>
      <c r="B55" s="9" t="s">
        <v>126</v>
      </c>
      <c r="C55" s="9" t="s">
        <v>130</v>
      </c>
      <c r="D55" s="9" t="s">
        <v>128</v>
      </c>
      <c r="E55" s="10" t="s">
        <v>46</v>
      </c>
      <c r="F55" s="11">
        <v>1</v>
      </c>
      <c r="G55" s="11">
        <v>2</v>
      </c>
      <c r="H55" s="11">
        <v>0</v>
      </c>
      <c r="I55" s="11"/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3">
        <v>0</v>
      </c>
      <c r="AB55" s="15">
        <f>SUM(Tabla1346591011127[[#This Row],[PUESTO 24 HORAS TODOS LOS DÍAS CON ARMA]:[PUESTO 8 HORAS DIURNAS TODOS LOS DIAS SIN ARMA]])</f>
        <v>3</v>
      </c>
    </row>
    <row r="56" spans="1:28">
      <c r="A56" s="8" t="s">
        <v>97</v>
      </c>
      <c r="B56" s="9" t="s">
        <v>131</v>
      </c>
      <c r="C56" s="9" t="s">
        <v>132</v>
      </c>
      <c r="D56" s="9" t="s">
        <v>133</v>
      </c>
      <c r="E56" s="10" t="s">
        <v>46</v>
      </c>
      <c r="F56" s="11">
        <v>0</v>
      </c>
      <c r="G56" s="11">
        <v>1</v>
      </c>
      <c r="H56" s="11">
        <v>0</v>
      </c>
      <c r="I56" s="11"/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3">
        <v>0</v>
      </c>
      <c r="AB56" s="15">
        <f>SUM(Tabla1346591011127[[#This Row],[PUESTO 24 HORAS TODOS LOS DÍAS CON ARMA]:[PUESTO 8 HORAS DIURNAS TODOS LOS DIAS SIN ARMA]])</f>
        <v>1</v>
      </c>
    </row>
    <row r="57" spans="1:28">
      <c r="A57" s="8" t="s">
        <v>97</v>
      </c>
      <c r="B57" s="9" t="s">
        <v>131</v>
      </c>
      <c r="C57" s="9" t="s">
        <v>134</v>
      </c>
      <c r="D57" s="9" t="s">
        <v>135</v>
      </c>
      <c r="E57" s="10" t="s">
        <v>46</v>
      </c>
      <c r="F57" s="11">
        <v>0</v>
      </c>
      <c r="G57" s="11">
        <v>1</v>
      </c>
      <c r="H57" s="11">
        <v>0</v>
      </c>
      <c r="I57" s="11"/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3">
        <v>0</v>
      </c>
      <c r="AB57" s="15">
        <f>SUM(Tabla1346591011127[[#This Row],[PUESTO 24 HORAS TODOS LOS DÍAS CON ARMA]:[PUESTO 8 HORAS DIURNAS TODOS LOS DIAS SIN ARMA]])</f>
        <v>1</v>
      </c>
    </row>
    <row r="58" spans="1:28">
      <c r="A58" s="8" t="s">
        <v>97</v>
      </c>
      <c r="B58" s="9" t="s">
        <v>131</v>
      </c>
      <c r="C58" s="9" t="s">
        <v>136</v>
      </c>
      <c r="D58" s="9" t="s">
        <v>133</v>
      </c>
      <c r="E58" s="10" t="s">
        <v>46</v>
      </c>
      <c r="F58" s="11">
        <v>0</v>
      </c>
      <c r="G58" s="11">
        <v>1</v>
      </c>
      <c r="H58" s="11">
        <v>0</v>
      </c>
      <c r="I58" s="11"/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3">
        <v>0</v>
      </c>
      <c r="AB58" s="15">
        <f>SUM(Tabla1346591011127[[#This Row],[PUESTO 24 HORAS TODOS LOS DÍAS CON ARMA]:[PUESTO 8 HORAS DIURNAS TODOS LOS DIAS SIN ARMA]])</f>
        <v>1</v>
      </c>
    </row>
    <row r="59" spans="1:28">
      <c r="A59" s="8" t="s">
        <v>97</v>
      </c>
      <c r="B59" s="9" t="s">
        <v>107</v>
      </c>
      <c r="C59" s="9" t="s">
        <v>137</v>
      </c>
      <c r="D59" s="9" t="s">
        <v>133</v>
      </c>
      <c r="E59" s="10" t="s">
        <v>46</v>
      </c>
      <c r="F59" s="11">
        <v>1</v>
      </c>
      <c r="G59" s="11">
        <v>9</v>
      </c>
      <c r="H59" s="11">
        <v>0</v>
      </c>
      <c r="I59" s="11"/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2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3">
        <v>0</v>
      </c>
      <c r="AB59" s="15">
        <f>SUM(Tabla1346591011127[[#This Row],[PUESTO 24 HORAS TODOS LOS DÍAS CON ARMA]:[PUESTO 8 HORAS DIURNAS TODOS LOS DIAS SIN ARMA]])</f>
        <v>14</v>
      </c>
    </row>
    <row r="60" spans="1:28">
      <c r="A60" s="8" t="s">
        <v>69</v>
      </c>
      <c r="B60" s="9" t="s">
        <v>138</v>
      </c>
      <c r="C60" s="9" t="s">
        <v>139</v>
      </c>
      <c r="D60" s="9" t="s">
        <v>140</v>
      </c>
      <c r="E60" s="10" t="s">
        <v>50</v>
      </c>
      <c r="F60" s="11">
        <v>0</v>
      </c>
      <c r="G60" s="11">
        <v>1</v>
      </c>
      <c r="H60" s="11">
        <v>0</v>
      </c>
      <c r="I60" s="11"/>
      <c r="J60" s="11">
        <v>0</v>
      </c>
      <c r="K60" s="11">
        <v>0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3">
        <v>0</v>
      </c>
      <c r="AB60" s="15">
        <f>SUM(Tabla1346591011127[[#This Row],[PUESTO 24 HORAS TODOS LOS DÍAS CON ARMA]:[PUESTO 8 HORAS DIURNAS TODOS LOS DIAS SIN ARMA]])</f>
        <v>2</v>
      </c>
    </row>
    <row r="61" spans="1:28">
      <c r="A61" s="8" t="s">
        <v>69</v>
      </c>
      <c r="B61" s="9" t="s">
        <v>141</v>
      </c>
      <c r="C61" s="9" t="s">
        <v>142</v>
      </c>
      <c r="D61" s="9" t="s">
        <v>140</v>
      </c>
      <c r="E61" s="10" t="s">
        <v>50</v>
      </c>
      <c r="F61" s="11">
        <v>0</v>
      </c>
      <c r="G61" s="11">
        <v>0</v>
      </c>
      <c r="H61" s="11">
        <v>0</v>
      </c>
      <c r="I61" s="11"/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1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1</v>
      </c>
      <c r="AA61" s="13">
        <v>0</v>
      </c>
      <c r="AB61" s="15">
        <f>SUM(Tabla1346591011127[[#This Row],[PUESTO 24 HORAS TODOS LOS DÍAS CON ARMA]:[PUESTO 8 HORAS DIURNAS TODOS LOS DIAS SIN ARMA]])</f>
        <v>2</v>
      </c>
    </row>
    <row r="62" spans="1:28">
      <c r="A62" s="8" t="s">
        <v>69</v>
      </c>
      <c r="B62" s="9" t="s">
        <v>138</v>
      </c>
      <c r="C62" s="9" t="s">
        <v>143</v>
      </c>
      <c r="D62" s="9" t="s">
        <v>140</v>
      </c>
      <c r="E62" s="10" t="s">
        <v>50</v>
      </c>
      <c r="F62" s="11">
        <v>0</v>
      </c>
      <c r="G62" s="11">
        <v>1</v>
      </c>
      <c r="H62" s="11">
        <v>0</v>
      </c>
      <c r="I62" s="11"/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3">
        <v>0</v>
      </c>
      <c r="AB62" s="15">
        <f>SUM(Tabla1346591011127[[#This Row],[PUESTO 24 HORAS TODOS LOS DÍAS CON ARMA]:[PUESTO 8 HORAS DIURNAS TODOS LOS DIAS SIN ARMA]])</f>
        <v>1</v>
      </c>
    </row>
    <row r="63" spans="1:28">
      <c r="A63" s="8" t="s">
        <v>69</v>
      </c>
      <c r="B63" s="9" t="s">
        <v>138</v>
      </c>
      <c r="C63" s="9" t="s">
        <v>144</v>
      </c>
      <c r="D63" s="9" t="s">
        <v>140</v>
      </c>
      <c r="E63" s="10" t="s">
        <v>50</v>
      </c>
      <c r="F63" s="11">
        <v>0</v>
      </c>
      <c r="G63" s="11">
        <v>5</v>
      </c>
      <c r="H63" s="11">
        <v>0</v>
      </c>
      <c r="I63" s="11"/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3">
        <v>0</v>
      </c>
      <c r="AB63" s="15">
        <f>SUM(Tabla1346591011127[[#This Row],[PUESTO 24 HORAS TODOS LOS DÍAS CON ARMA]:[PUESTO 8 HORAS DIURNAS TODOS LOS DIAS SIN ARMA]])</f>
        <v>5</v>
      </c>
    </row>
    <row r="64" spans="1:28">
      <c r="A64" s="8" t="s">
        <v>93</v>
      </c>
      <c r="B64" s="9" t="s">
        <v>114</v>
      </c>
      <c r="C64" s="9" t="s">
        <v>145</v>
      </c>
      <c r="D64" s="9" t="s">
        <v>146</v>
      </c>
      <c r="E64" s="10" t="s">
        <v>36</v>
      </c>
      <c r="F64" s="11">
        <v>0</v>
      </c>
      <c r="G64" s="11">
        <v>1</v>
      </c>
      <c r="H64" s="11">
        <v>0</v>
      </c>
      <c r="I64" s="11"/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3">
        <v>0</v>
      </c>
      <c r="AB64" s="15">
        <f>SUM(Tabla1346591011127[[#This Row],[PUESTO 24 HORAS TODOS LOS DÍAS CON ARMA]:[PUESTO 8 HORAS DIURNAS TODOS LOS DIAS SIN ARMA]])</f>
        <v>1</v>
      </c>
    </row>
    <row r="65" spans="1:28">
      <c r="A65" s="8" t="s">
        <v>93</v>
      </c>
      <c r="B65" s="9" t="s">
        <v>147</v>
      </c>
      <c r="C65" s="9" t="s">
        <v>148</v>
      </c>
      <c r="D65" s="9" t="s">
        <v>146</v>
      </c>
      <c r="E65" s="10" t="s">
        <v>36</v>
      </c>
      <c r="F65" s="11">
        <v>0</v>
      </c>
      <c r="G65" s="11">
        <v>2</v>
      </c>
      <c r="H65" s="11">
        <v>0</v>
      </c>
      <c r="I65" s="11"/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3">
        <v>0</v>
      </c>
      <c r="AB65" s="15">
        <f>SUM(Tabla1346591011127[[#This Row],[PUESTO 24 HORAS TODOS LOS DÍAS CON ARMA]:[PUESTO 8 HORAS DIURNAS TODOS LOS DIAS SIN ARMA]])</f>
        <v>2</v>
      </c>
    </row>
    <row r="66" spans="1:28">
      <c r="A66" s="8" t="s">
        <v>93</v>
      </c>
      <c r="B66" s="9" t="s">
        <v>147</v>
      </c>
      <c r="C66" s="9" t="s">
        <v>149</v>
      </c>
      <c r="D66" s="9" t="s">
        <v>146</v>
      </c>
      <c r="E66" s="10" t="s">
        <v>36</v>
      </c>
      <c r="F66" s="11">
        <v>0</v>
      </c>
      <c r="G66" s="11">
        <v>2</v>
      </c>
      <c r="H66" s="11">
        <v>0</v>
      </c>
      <c r="I66" s="11"/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3">
        <v>0</v>
      </c>
      <c r="AB66" s="15">
        <f>SUM(Tabla1346591011127[[#This Row],[PUESTO 24 HORAS TODOS LOS DÍAS CON ARMA]:[PUESTO 8 HORAS DIURNAS TODOS LOS DIAS SIN ARMA]])</f>
        <v>2</v>
      </c>
    </row>
    <row r="67" spans="1:28">
      <c r="A67" s="8" t="s">
        <v>93</v>
      </c>
      <c r="B67" s="9" t="s">
        <v>150</v>
      </c>
      <c r="C67" s="9" t="s">
        <v>151</v>
      </c>
      <c r="D67" s="9" t="s">
        <v>146</v>
      </c>
      <c r="E67" s="10" t="s">
        <v>36</v>
      </c>
      <c r="F67" s="11">
        <v>0</v>
      </c>
      <c r="G67" s="11">
        <v>0</v>
      </c>
      <c r="H67" s="11">
        <v>0</v>
      </c>
      <c r="I67" s="11"/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3">
        <v>0</v>
      </c>
      <c r="AB67" s="15">
        <f>SUM(Tabla1346591011127[[#This Row],[PUESTO 24 HORAS TODOS LOS DÍAS CON ARMA]:[PUESTO 8 HORAS DIURNAS TODOS LOS DIAS SIN ARMA]])</f>
        <v>0</v>
      </c>
    </row>
    <row r="68" spans="1:28">
      <c r="A68" s="8" t="s">
        <v>93</v>
      </c>
      <c r="B68" s="9" t="s">
        <v>150</v>
      </c>
      <c r="C68" s="9" t="s">
        <v>152</v>
      </c>
      <c r="D68" s="9" t="s">
        <v>146</v>
      </c>
      <c r="E68" s="10" t="s">
        <v>36</v>
      </c>
      <c r="F68" s="11">
        <v>0</v>
      </c>
      <c r="G68" s="11">
        <v>0</v>
      </c>
      <c r="H68" s="11">
        <v>0</v>
      </c>
      <c r="I68" s="11"/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3">
        <v>0</v>
      </c>
      <c r="AB68" s="15">
        <f>SUM(Tabla1346591011127[[#This Row],[PUESTO 24 HORAS TODOS LOS DÍAS CON ARMA]:[PUESTO 8 HORAS DIURNAS TODOS LOS DIAS SIN ARMA]])</f>
        <v>0</v>
      </c>
    </row>
    <row r="69" spans="1:28">
      <c r="A69" s="8" t="s">
        <v>93</v>
      </c>
      <c r="B69" s="9" t="s">
        <v>150</v>
      </c>
      <c r="C69" s="9" t="s">
        <v>152</v>
      </c>
      <c r="D69" s="9" t="s">
        <v>146</v>
      </c>
      <c r="E69" s="10" t="s">
        <v>36</v>
      </c>
      <c r="F69" s="11">
        <v>0</v>
      </c>
      <c r="G69" s="11">
        <v>0</v>
      </c>
      <c r="H69" s="11">
        <v>0</v>
      </c>
      <c r="I69" s="11"/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3">
        <v>0</v>
      </c>
      <c r="AB69" s="15">
        <f>SUM(Tabla1346591011127[[#This Row],[PUESTO 24 HORAS TODOS LOS DÍAS CON ARMA]:[PUESTO 8 HORAS DIURNAS TODOS LOS DIAS SIN ARMA]])</f>
        <v>0</v>
      </c>
    </row>
    <row r="70" spans="1:28">
      <c r="A70" s="8" t="s">
        <v>93</v>
      </c>
      <c r="B70" s="9" t="s">
        <v>94</v>
      </c>
      <c r="C70" s="9" t="s">
        <v>153</v>
      </c>
      <c r="D70" s="9" t="s">
        <v>146</v>
      </c>
      <c r="E70" s="10" t="s">
        <v>36</v>
      </c>
      <c r="F70" s="11">
        <v>0</v>
      </c>
      <c r="G70" s="11">
        <v>6</v>
      </c>
      <c r="H70" s="11">
        <v>0</v>
      </c>
      <c r="I70" s="11"/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3">
        <v>0</v>
      </c>
      <c r="AB70" s="15">
        <f>SUM(Tabla1346591011127[[#This Row],[PUESTO 24 HORAS TODOS LOS DÍAS CON ARMA]:[PUESTO 8 HORAS DIURNAS TODOS LOS DIAS SIN ARMA]])</f>
        <v>8</v>
      </c>
    </row>
    <row r="71" spans="1:28">
      <c r="A71" s="8" t="s">
        <v>32</v>
      </c>
      <c r="B71" s="9" t="s">
        <v>126</v>
      </c>
      <c r="C71" s="9" t="s">
        <v>154</v>
      </c>
      <c r="D71" s="9" t="s">
        <v>155</v>
      </c>
      <c r="E71" s="10" t="s">
        <v>46</v>
      </c>
      <c r="F71" s="11">
        <v>0</v>
      </c>
      <c r="G71" s="11">
        <v>0</v>
      </c>
      <c r="H71" s="11">
        <v>0</v>
      </c>
      <c r="I71" s="11"/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3">
        <v>0</v>
      </c>
      <c r="AB71" s="15">
        <f>SUM(Tabla1346591011127[[#This Row],[PUESTO 24 HORAS TODOS LOS DÍAS CON ARMA]:[PUESTO 8 HORAS DIURNAS TODOS LOS DIAS SIN ARMA]])</f>
        <v>0</v>
      </c>
    </row>
    <row r="72" spans="1:28">
      <c r="A72" s="8" t="s">
        <v>32</v>
      </c>
      <c r="B72" s="9" t="s">
        <v>126</v>
      </c>
      <c r="C72" s="9" t="s">
        <v>156</v>
      </c>
      <c r="D72" s="9" t="s">
        <v>155</v>
      </c>
      <c r="E72" s="10" t="s">
        <v>46</v>
      </c>
      <c r="F72" s="11">
        <v>0</v>
      </c>
      <c r="G72" s="11">
        <v>0</v>
      </c>
      <c r="H72" s="11">
        <v>0</v>
      </c>
      <c r="I72" s="11"/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3">
        <v>0</v>
      </c>
      <c r="AB72" s="15">
        <f>SUM(Tabla1346591011127[[#This Row],[PUESTO 24 HORAS TODOS LOS DÍAS CON ARMA]:[PUESTO 8 HORAS DIURNAS TODOS LOS DIAS SIN ARMA]])</f>
        <v>1</v>
      </c>
    </row>
    <row r="73" spans="1:28">
      <c r="A73" s="8" t="s">
        <v>110</v>
      </c>
      <c r="B73" s="9" t="s">
        <v>111</v>
      </c>
      <c r="C73" s="9" t="s">
        <v>157</v>
      </c>
      <c r="D73" s="9" t="s">
        <v>158</v>
      </c>
      <c r="E73" s="10" t="s">
        <v>46</v>
      </c>
      <c r="F73" s="11">
        <v>0</v>
      </c>
      <c r="G73" s="11">
        <v>2</v>
      </c>
      <c r="H73" s="11">
        <v>0</v>
      </c>
      <c r="I73" s="11"/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3">
        <v>0</v>
      </c>
      <c r="AB73" s="15">
        <f>SUM(Tabla1346591011127[[#This Row],[PUESTO 24 HORAS TODOS LOS DÍAS CON ARMA]:[PUESTO 8 HORAS DIURNAS TODOS LOS DIAS SIN ARMA]])</f>
        <v>2</v>
      </c>
    </row>
    <row r="74" spans="1:28">
      <c r="A74" s="8" t="s">
        <v>110</v>
      </c>
      <c r="B74" s="9" t="s">
        <v>159</v>
      </c>
      <c r="C74" s="9" t="s">
        <v>160</v>
      </c>
      <c r="D74" s="9" t="s">
        <v>161</v>
      </c>
      <c r="E74" s="10" t="s">
        <v>46</v>
      </c>
      <c r="F74" s="11">
        <v>0</v>
      </c>
      <c r="G74" s="11">
        <v>2</v>
      </c>
      <c r="H74" s="11">
        <v>0</v>
      </c>
      <c r="I74" s="11"/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3">
        <v>0</v>
      </c>
      <c r="AB74" s="15">
        <f>SUM(Tabla1346591011127[[#This Row],[PUESTO 24 HORAS TODOS LOS DÍAS CON ARMA]:[PUESTO 8 HORAS DIURNAS TODOS LOS DIAS SIN ARMA]])</f>
        <v>2</v>
      </c>
    </row>
    <row r="75" spans="1:28">
      <c r="A75" s="8" t="s">
        <v>110</v>
      </c>
      <c r="B75" s="9" t="s">
        <v>111</v>
      </c>
      <c r="C75" s="9" t="s">
        <v>160</v>
      </c>
      <c r="D75" s="9" t="s">
        <v>161</v>
      </c>
      <c r="E75" s="10" t="s">
        <v>46</v>
      </c>
      <c r="F75" s="11">
        <v>0</v>
      </c>
      <c r="G75" s="11">
        <v>1</v>
      </c>
      <c r="H75" s="11">
        <v>0</v>
      </c>
      <c r="I75" s="11"/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3">
        <v>0</v>
      </c>
      <c r="AB75" s="15">
        <f>SUM(Tabla1346591011127[[#This Row],[PUESTO 24 HORAS TODOS LOS DÍAS CON ARMA]:[PUESTO 8 HORAS DIURNAS TODOS LOS DIAS SIN ARMA]])</f>
        <v>1</v>
      </c>
    </row>
    <row r="76" spans="1:28">
      <c r="A76" s="8" t="s">
        <v>110</v>
      </c>
      <c r="B76" s="9" t="s">
        <v>111</v>
      </c>
      <c r="C76" s="9" t="s">
        <v>162</v>
      </c>
      <c r="D76" s="9" t="s">
        <v>161</v>
      </c>
      <c r="E76" s="10" t="s">
        <v>46</v>
      </c>
      <c r="F76" s="11">
        <v>0</v>
      </c>
      <c r="G76" s="11">
        <v>1</v>
      </c>
      <c r="H76" s="11">
        <v>0</v>
      </c>
      <c r="I76" s="11"/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3">
        <v>0</v>
      </c>
      <c r="AB76" s="15">
        <f>SUM(Tabla1346591011127[[#This Row],[PUESTO 24 HORAS TODOS LOS DÍAS CON ARMA]:[PUESTO 8 HORAS DIURNAS TODOS LOS DIAS SIN ARMA]])</f>
        <v>2</v>
      </c>
    </row>
    <row r="77" spans="1:28">
      <c r="A77" s="8" t="s">
        <v>110</v>
      </c>
      <c r="B77" s="9" t="s">
        <v>111</v>
      </c>
      <c r="C77" s="9" t="s">
        <v>163</v>
      </c>
      <c r="D77" s="9" t="s">
        <v>161</v>
      </c>
      <c r="E77" s="10" t="s">
        <v>46</v>
      </c>
      <c r="F77" s="11">
        <v>0</v>
      </c>
      <c r="G77" s="11">
        <v>1</v>
      </c>
      <c r="H77" s="11">
        <v>0</v>
      </c>
      <c r="I77" s="11"/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3">
        <v>0</v>
      </c>
      <c r="AB77" s="15">
        <f>SUM(Tabla1346591011127[[#This Row],[PUESTO 24 HORAS TODOS LOS DÍAS CON ARMA]:[PUESTO 8 HORAS DIURNAS TODOS LOS DIAS SIN ARMA]])</f>
        <v>1</v>
      </c>
    </row>
    <row r="78" spans="1:28">
      <c r="A78" s="8" t="s">
        <v>69</v>
      </c>
      <c r="B78" s="9" t="s">
        <v>141</v>
      </c>
      <c r="C78" s="9" t="s">
        <v>164</v>
      </c>
      <c r="D78" s="9" t="s">
        <v>165</v>
      </c>
      <c r="E78" s="10" t="s">
        <v>50</v>
      </c>
      <c r="F78" s="11">
        <v>0</v>
      </c>
      <c r="G78" s="11">
        <v>0</v>
      </c>
      <c r="H78" s="11">
        <v>0</v>
      </c>
      <c r="I78" s="11"/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3">
        <v>0</v>
      </c>
      <c r="AB78" s="15">
        <f>SUM(Tabla1346591011127[[#This Row],[PUESTO 24 HORAS TODOS LOS DÍAS CON ARMA]:[PUESTO 8 HORAS DIURNAS TODOS LOS DIAS SIN ARMA]])</f>
        <v>1</v>
      </c>
    </row>
    <row r="79" spans="1:28">
      <c r="A79" s="8" t="s">
        <v>79</v>
      </c>
      <c r="B79" s="9" t="s">
        <v>166</v>
      </c>
      <c r="C79" s="9" t="s">
        <v>167</v>
      </c>
      <c r="D79" s="9" t="s">
        <v>168</v>
      </c>
      <c r="E79" s="10" t="s">
        <v>50</v>
      </c>
      <c r="F79" s="11">
        <v>0</v>
      </c>
      <c r="G79" s="11">
        <v>1</v>
      </c>
      <c r="H79" s="11">
        <v>0</v>
      </c>
      <c r="I79" s="11"/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3">
        <v>0</v>
      </c>
      <c r="AB79" s="15">
        <f>SUM(Tabla1346591011127[[#This Row],[PUESTO 24 HORAS TODOS LOS DÍAS CON ARMA]:[PUESTO 8 HORAS DIURNAS TODOS LOS DIAS SIN ARMA]])</f>
        <v>1</v>
      </c>
    </row>
    <row r="80" spans="1:28">
      <c r="A80" s="8" t="s">
        <v>93</v>
      </c>
      <c r="B80" s="9" t="s">
        <v>94</v>
      </c>
      <c r="C80" s="9" t="s">
        <v>169</v>
      </c>
      <c r="D80" s="9" t="s">
        <v>170</v>
      </c>
      <c r="E80" s="10" t="s">
        <v>36</v>
      </c>
      <c r="F80" s="11">
        <v>0</v>
      </c>
      <c r="G80" s="11">
        <v>4</v>
      </c>
      <c r="H80" s="11">
        <v>0</v>
      </c>
      <c r="I80" s="11"/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3">
        <v>0</v>
      </c>
      <c r="AB80" s="15">
        <f>SUM(Tabla1346591011127[[#This Row],[PUESTO 24 HORAS TODOS LOS DÍAS CON ARMA]:[PUESTO 8 HORAS DIURNAS TODOS LOS DIAS SIN ARMA]])</f>
        <v>4</v>
      </c>
    </row>
    <row r="81" spans="1:28">
      <c r="A81" s="8" t="s">
        <v>93</v>
      </c>
      <c r="B81" s="9" t="s">
        <v>94</v>
      </c>
      <c r="C81" s="9" t="s">
        <v>171</v>
      </c>
      <c r="D81" s="9" t="s">
        <v>170</v>
      </c>
      <c r="E81" s="10" t="s">
        <v>36</v>
      </c>
      <c r="F81" s="11">
        <v>0</v>
      </c>
      <c r="G81" s="11">
        <v>1</v>
      </c>
      <c r="H81" s="11">
        <v>0</v>
      </c>
      <c r="I81" s="11"/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1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3">
        <v>0</v>
      </c>
      <c r="AB81" s="15">
        <f>SUM(Tabla1346591011127[[#This Row],[PUESTO 24 HORAS TODOS LOS DÍAS CON ARMA]:[PUESTO 8 HORAS DIURNAS TODOS LOS DIAS SIN ARMA]])</f>
        <v>2</v>
      </c>
    </row>
    <row r="82" spans="1:28">
      <c r="A82" s="8" t="s">
        <v>110</v>
      </c>
      <c r="B82" s="9" t="s">
        <v>111</v>
      </c>
      <c r="C82" s="9" t="s">
        <v>172</v>
      </c>
      <c r="D82" s="9" t="s">
        <v>173</v>
      </c>
      <c r="E82" s="10" t="s">
        <v>46</v>
      </c>
      <c r="F82" s="11">
        <v>0</v>
      </c>
      <c r="G82" s="11">
        <v>1</v>
      </c>
      <c r="H82" s="11">
        <v>0</v>
      </c>
      <c r="I82" s="11"/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3">
        <v>0</v>
      </c>
      <c r="AB82" s="15">
        <f>SUM(Tabla1346591011127[[#This Row],[PUESTO 24 HORAS TODOS LOS DÍAS CON ARMA]:[PUESTO 8 HORAS DIURNAS TODOS LOS DIAS SIN ARMA]])</f>
        <v>1</v>
      </c>
    </row>
    <row r="83" spans="1:28">
      <c r="A83" s="8" t="s">
        <v>32</v>
      </c>
      <c r="B83" s="9" t="s">
        <v>174</v>
      </c>
      <c r="C83" s="9" t="s">
        <v>175</v>
      </c>
      <c r="D83" s="9" t="s">
        <v>176</v>
      </c>
      <c r="E83" s="10" t="s">
        <v>46</v>
      </c>
      <c r="F83" s="11">
        <v>0</v>
      </c>
      <c r="G83" s="11">
        <v>2</v>
      </c>
      <c r="H83" s="11">
        <v>0</v>
      </c>
      <c r="I83" s="11"/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3">
        <v>0</v>
      </c>
      <c r="AB83" s="15">
        <f>SUM(Tabla1346591011127[[#This Row],[PUESTO 24 HORAS TODOS LOS DÍAS CON ARMA]:[PUESTO 8 HORAS DIURNAS TODOS LOS DIAS SIN ARMA]])</f>
        <v>3</v>
      </c>
    </row>
    <row r="84" spans="1:28">
      <c r="A84" s="8" t="s">
        <v>32</v>
      </c>
      <c r="B84" s="9" t="s">
        <v>174</v>
      </c>
      <c r="C84" s="9" t="s">
        <v>177</v>
      </c>
      <c r="D84" s="9" t="s">
        <v>176</v>
      </c>
      <c r="E84" s="10" t="s">
        <v>46</v>
      </c>
      <c r="F84" s="11">
        <v>2</v>
      </c>
      <c r="G84" s="11">
        <v>2</v>
      </c>
      <c r="H84" s="11">
        <v>1</v>
      </c>
      <c r="I84" s="11"/>
      <c r="J84" s="11">
        <v>2</v>
      </c>
      <c r="K84" s="11">
        <v>1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3">
        <v>0</v>
      </c>
      <c r="AB84" s="15">
        <f>SUM(Tabla1346591011127[[#This Row],[PUESTO 24 HORAS TODOS LOS DÍAS CON ARMA]:[PUESTO 8 HORAS DIURNAS TODOS LOS DIAS SIN ARMA]])</f>
        <v>8</v>
      </c>
    </row>
    <row r="85" spans="1:28">
      <c r="A85" s="8" t="s">
        <v>97</v>
      </c>
      <c r="B85" s="9" t="s">
        <v>178</v>
      </c>
      <c r="C85" s="9" t="s">
        <v>179</v>
      </c>
      <c r="D85" s="9" t="s">
        <v>180</v>
      </c>
      <c r="E85" s="10" t="s">
        <v>46</v>
      </c>
      <c r="F85" s="11">
        <v>0</v>
      </c>
      <c r="G85" s="11">
        <v>5</v>
      </c>
      <c r="H85" s="11">
        <v>0</v>
      </c>
      <c r="I85" s="11"/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3">
        <v>0</v>
      </c>
      <c r="AB85" s="15">
        <f>SUM(Tabla1346591011127[[#This Row],[PUESTO 24 HORAS TODOS LOS DÍAS CON ARMA]:[PUESTO 8 HORAS DIURNAS TODOS LOS DIAS SIN ARMA]])</f>
        <v>5</v>
      </c>
    </row>
    <row r="86" spans="1:28">
      <c r="A86" s="8" t="s">
        <v>97</v>
      </c>
      <c r="B86" s="9" t="s">
        <v>181</v>
      </c>
      <c r="C86" s="9" t="s">
        <v>182</v>
      </c>
      <c r="D86" s="9" t="s">
        <v>180</v>
      </c>
      <c r="E86" s="10" t="s">
        <v>46</v>
      </c>
      <c r="F86" s="11">
        <v>0</v>
      </c>
      <c r="G86" s="11">
        <v>2</v>
      </c>
      <c r="H86" s="11">
        <v>0</v>
      </c>
      <c r="I86" s="11"/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3">
        <v>0</v>
      </c>
      <c r="AB86" s="15">
        <f>SUM(Tabla1346591011127[[#This Row],[PUESTO 24 HORAS TODOS LOS DÍAS CON ARMA]:[PUESTO 8 HORAS DIURNAS TODOS LOS DIAS SIN ARMA]])</f>
        <v>2</v>
      </c>
    </row>
    <row r="87" spans="1:28">
      <c r="A87" s="8" t="s">
        <v>97</v>
      </c>
      <c r="B87" s="9" t="s">
        <v>178</v>
      </c>
      <c r="C87" s="9" t="s">
        <v>179</v>
      </c>
      <c r="D87" s="9" t="s">
        <v>180</v>
      </c>
      <c r="E87" s="10" t="s">
        <v>46</v>
      </c>
      <c r="F87" s="11">
        <v>0</v>
      </c>
      <c r="G87" s="11">
        <v>1</v>
      </c>
      <c r="H87" s="11">
        <v>0</v>
      </c>
      <c r="I87" s="11"/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3">
        <v>0</v>
      </c>
      <c r="AB87" s="15">
        <f>SUM(Tabla1346591011127[[#This Row],[PUESTO 24 HORAS TODOS LOS DÍAS CON ARMA]:[PUESTO 8 HORAS DIURNAS TODOS LOS DIAS SIN ARMA]])</f>
        <v>1</v>
      </c>
    </row>
    <row r="88" spans="1:28">
      <c r="A88" s="8" t="s">
        <v>97</v>
      </c>
      <c r="B88" s="9" t="s">
        <v>98</v>
      </c>
      <c r="C88" s="9" t="s">
        <v>183</v>
      </c>
      <c r="D88" s="9" t="s">
        <v>184</v>
      </c>
      <c r="E88" s="10" t="s">
        <v>46</v>
      </c>
      <c r="F88" s="11">
        <v>2</v>
      </c>
      <c r="G88" s="11">
        <v>1</v>
      </c>
      <c r="H88" s="11">
        <v>0</v>
      </c>
      <c r="I88" s="11"/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3">
        <v>0</v>
      </c>
      <c r="AB88" s="15">
        <f>SUM(Tabla1346591011127[[#This Row],[PUESTO 24 HORAS TODOS LOS DÍAS CON ARMA]:[PUESTO 8 HORAS DIURNAS TODOS LOS DIAS SIN ARMA]])</f>
        <v>3</v>
      </c>
    </row>
    <row r="89" spans="1:28">
      <c r="A89" s="8" t="s">
        <v>32</v>
      </c>
      <c r="B89" s="9" t="s">
        <v>59</v>
      </c>
      <c r="C89" s="9" t="s">
        <v>185</v>
      </c>
      <c r="D89" s="9" t="s">
        <v>186</v>
      </c>
      <c r="E89" s="10" t="s">
        <v>46</v>
      </c>
      <c r="F89" s="11">
        <v>0</v>
      </c>
      <c r="G89" s="11">
        <v>2</v>
      </c>
      <c r="H89" s="11">
        <v>0</v>
      </c>
      <c r="I89" s="11"/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3">
        <v>0</v>
      </c>
      <c r="AB89" s="15">
        <f>SUM(Tabla1346591011127[[#This Row],[PUESTO 24 HORAS TODOS LOS DÍAS CON ARMA]:[PUESTO 8 HORAS DIURNAS TODOS LOS DIAS SIN ARMA]])</f>
        <v>2</v>
      </c>
    </row>
    <row r="90" spans="1:28">
      <c r="A90" s="17" t="s">
        <v>32</v>
      </c>
      <c r="B90" s="18" t="s">
        <v>187</v>
      </c>
      <c r="C90" s="18"/>
      <c r="D90" s="18" t="s">
        <v>188</v>
      </c>
      <c r="E90" s="19" t="s">
        <v>46</v>
      </c>
      <c r="F90" s="20"/>
      <c r="G90" s="20">
        <v>1</v>
      </c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1"/>
      <c r="AB90" s="22">
        <f>SUM(Tabla1346591011127[[#This Row],[PUESTO 24 HORAS TODOS LOS DÍAS CON ARMA]:[PUESTO 8 HORAS DIURNAS TODOS LOS DIAS SIN ARMA]])</f>
        <v>1</v>
      </c>
    </row>
    <row r="91" spans="1:28">
      <c r="A91" s="17" t="s">
        <v>69</v>
      </c>
      <c r="B91" s="18" t="s">
        <v>189</v>
      </c>
      <c r="C91" s="18"/>
      <c r="D91" s="18" t="s">
        <v>140</v>
      </c>
      <c r="E91" s="19" t="s">
        <v>50</v>
      </c>
      <c r="F91" s="20"/>
      <c r="G91" s="20">
        <v>1</v>
      </c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1"/>
      <c r="AB91" s="22">
        <f>SUM(Tabla1346591011127[[#This Row],[PUESTO 24 HORAS TODOS LOS DÍAS CON ARMA]:[PUESTO 8 HORAS DIURNAS TODOS LOS DIAS SIN ARMA]])</f>
        <v>1</v>
      </c>
    </row>
    <row r="92" spans="1:28">
      <c r="A92" s="17" t="s">
        <v>93</v>
      </c>
      <c r="B92" s="18" t="s">
        <v>190</v>
      </c>
      <c r="C92" s="18"/>
      <c r="D92" s="18" t="s">
        <v>146</v>
      </c>
      <c r="E92" s="19" t="s">
        <v>46</v>
      </c>
      <c r="F92" s="20"/>
      <c r="G92" s="20"/>
      <c r="H92" s="20">
        <v>1</v>
      </c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1"/>
      <c r="AB92" s="22">
        <f>SUM(Tabla1346591011127[[#This Row],[PUESTO 24 HORAS TODOS LOS DÍAS CON ARMA]:[PUESTO 8 HORAS DIURNAS TODOS LOS DIAS SIN ARMA]])</f>
        <v>1</v>
      </c>
    </row>
    <row r="93" spans="1:28" s="16" customFormat="1" ht="20">
      <c r="A93" s="23"/>
      <c r="B93" s="24"/>
      <c r="C93" s="24"/>
      <c r="D93" s="18"/>
      <c r="E93" s="19"/>
      <c r="F93" s="25">
        <f>SUBTOTAL(109,F8:F92)</f>
        <v>14</v>
      </c>
      <c r="G93" s="25">
        <f>SUBTOTAL(109,G8:G92)</f>
        <v>128</v>
      </c>
      <c r="H93" s="25">
        <f t="shared" ref="H93:AA93" si="3">SUBTOTAL(109,H8:H92)</f>
        <v>10</v>
      </c>
      <c r="I93" s="25"/>
      <c r="J93" s="25">
        <f t="shared" si="3"/>
        <v>8</v>
      </c>
      <c r="K93" s="25">
        <f t="shared" si="3"/>
        <v>1</v>
      </c>
      <c r="L93" s="25">
        <f t="shared" si="3"/>
        <v>7</v>
      </c>
      <c r="M93" s="25">
        <f t="shared" si="3"/>
        <v>1</v>
      </c>
      <c r="N93" s="25">
        <f t="shared" si="3"/>
        <v>3</v>
      </c>
      <c r="O93" s="25">
        <f t="shared" si="3"/>
        <v>14</v>
      </c>
      <c r="P93" s="25">
        <f t="shared" si="3"/>
        <v>4</v>
      </c>
      <c r="Q93" s="25">
        <f t="shared" si="3"/>
        <v>3</v>
      </c>
      <c r="R93" s="25">
        <f t="shared" si="3"/>
        <v>18</v>
      </c>
      <c r="S93" s="25">
        <f t="shared" si="3"/>
        <v>1</v>
      </c>
      <c r="T93" s="25">
        <f t="shared" si="3"/>
        <v>0</v>
      </c>
      <c r="U93" s="25">
        <f t="shared" si="3"/>
        <v>3</v>
      </c>
      <c r="V93" s="25">
        <f t="shared" si="3"/>
        <v>1</v>
      </c>
      <c r="W93" s="25">
        <f t="shared" si="3"/>
        <v>0</v>
      </c>
      <c r="X93" s="25">
        <f t="shared" si="3"/>
        <v>0</v>
      </c>
      <c r="Y93" s="25">
        <f t="shared" si="3"/>
        <v>1</v>
      </c>
      <c r="Z93" s="25">
        <f t="shared" si="3"/>
        <v>1</v>
      </c>
      <c r="AA93" s="25">
        <f t="shared" si="3"/>
        <v>0</v>
      </c>
      <c r="AB93" s="25">
        <f>SUBTOTAL(109,AB8:AB92)</f>
        <v>218</v>
      </c>
    </row>
    <row r="94" spans="1:28" s="16" customFormat="1">
      <c r="A94" s="26"/>
      <c r="B94" s="26"/>
      <c r="C94" s="26"/>
      <c r="D94" s="26"/>
      <c r="E94" s="26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</row>
    <row r="95" spans="1:28" s="16" customFormat="1">
      <c r="A95" s="26"/>
      <c r="B95" s="26"/>
      <c r="C95" s="26"/>
      <c r="D95" s="26"/>
      <c r="E95" s="26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</row>
    <row r="96" spans="1:28" s="16" customFormat="1">
      <c r="A96" s="77" t="s">
        <v>191</v>
      </c>
      <c r="B96" s="78"/>
      <c r="C96" s="78"/>
      <c r="D96" s="78"/>
      <c r="E96" s="79"/>
      <c r="F96" s="28">
        <f>+((F1*F93)/F6*F7)</f>
        <v>239528688</v>
      </c>
      <c r="G96" s="28">
        <f>+((G1*G93)/G6*G7)</f>
        <v>2189976576</v>
      </c>
      <c r="H96" s="28">
        <f t="shared" ref="H96:AA96" si="4">+((H1*H93)/H6*H7)</f>
        <v>171091920</v>
      </c>
      <c r="I96" s="28"/>
      <c r="J96" s="28">
        <f t="shared" si="4"/>
        <v>136873536</v>
      </c>
      <c r="K96" s="28">
        <f t="shared" si="4"/>
        <v>11406128</v>
      </c>
      <c r="L96" s="28">
        <f t="shared" si="4"/>
        <v>95811475.200000018</v>
      </c>
      <c r="M96" s="28">
        <f t="shared" si="4"/>
        <v>10587790</v>
      </c>
      <c r="N96" s="28">
        <f t="shared" si="4"/>
        <v>21175580</v>
      </c>
      <c r="O96" s="28">
        <f t="shared" si="4"/>
        <v>118583248</v>
      </c>
      <c r="P96" s="28">
        <f t="shared" si="4"/>
        <v>30063744</v>
      </c>
      <c r="Q96" s="28">
        <f t="shared" si="4"/>
        <v>15031872</v>
      </c>
      <c r="R96" s="28">
        <f t="shared" si="4"/>
        <v>108229478.40000001</v>
      </c>
      <c r="S96" s="28">
        <f t="shared" si="4"/>
        <v>9593255</v>
      </c>
      <c r="T96" s="28">
        <f t="shared" si="4"/>
        <v>0</v>
      </c>
      <c r="U96" s="28">
        <f t="shared" si="4"/>
        <v>28779765</v>
      </c>
      <c r="V96" s="28">
        <f t="shared" si="4"/>
        <v>6521402</v>
      </c>
      <c r="W96" s="28">
        <f t="shared" si="4"/>
        <v>0</v>
      </c>
      <c r="X96" s="28">
        <f t="shared" si="4"/>
        <v>0</v>
      </c>
      <c r="Y96" s="28">
        <f>+((Y1*Y93)/Y6*Y7)</f>
        <v>4008499.1999999997</v>
      </c>
      <c r="Z96" s="28">
        <f>+((Z1*Z93)/Z6*Z7)</f>
        <v>3340416</v>
      </c>
      <c r="AA96" s="28">
        <f t="shared" si="4"/>
        <v>0</v>
      </c>
      <c r="AB96" s="28">
        <f>SUM(F96:AA96)</f>
        <v>3200603372.7999997</v>
      </c>
    </row>
    <row r="97" spans="1:28">
      <c r="A97" s="77" t="s">
        <v>2</v>
      </c>
      <c r="B97" s="78"/>
      <c r="C97" s="78"/>
      <c r="D97" s="78"/>
      <c r="E97" s="79"/>
      <c r="F97" s="28">
        <f>+((F2*F93)/F6*F7)</f>
        <v>23952868.800000004</v>
      </c>
      <c r="G97" s="28">
        <f>+((G2*G93)/G6*G7)</f>
        <v>175198126.08000001</v>
      </c>
      <c r="H97" s="28">
        <f t="shared" ref="H97:AA97" si="5">+((H2*H93)/H6*H7)</f>
        <v>13687353.600000001</v>
      </c>
      <c r="I97" s="28"/>
      <c r="J97" s="28">
        <f t="shared" si="5"/>
        <v>15056088.960000001</v>
      </c>
      <c r="K97" s="28">
        <f t="shared" si="5"/>
        <v>912490.24</v>
      </c>
      <c r="L97" s="28">
        <f t="shared" si="5"/>
        <v>7664918.0160000008</v>
      </c>
      <c r="M97" s="28">
        <f t="shared" si="5"/>
        <v>847023.20000000007</v>
      </c>
      <c r="N97" s="28">
        <f t="shared" si="5"/>
        <v>1694046.4</v>
      </c>
      <c r="O97" s="28">
        <f t="shared" si="5"/>
        <v>9486659.8399999999</v>
      </c>
      <c r="P97" s="28">
        <f t="shared" si="5"/>
        <v>2405099.52</v>
      </c>
      <c r="Q97" s="28">
        <f t="shared" si="5"/>
        <v>1202549.76</v>
      </c>
      <c r="R97" s="28">
        <f t="shared" si="5"/>
        <v>8658358.2720000017</v>
      </c>
      <c r="S97" s="28">
        <f t="shared" si="5"/>
        <v>767460.4</v>
      </c>
      <c r="T97" s="28">
        <f t="shared" si="5"/>
        <v>0</v>
      </c>
      <c r="U97" s="28">
        <f t="shared" si="5"/>
        <v>2877976.5</v>
      </c>
      <c r="V97" s="28">
        <f t="shared" si="5"/>
        <v>652140.20000000007</v>
      </c>
      <c r="W97" s="28">
        <f t="shared" si="5"/>
        <v>0</v>
      </c>
      <c r="X97" s="28">
        <f t="shared" si="5"/>
        <v>0</v>
      </c>
      <c r="Y97" s="28">
        <f t="shared" si="5"/>
        <v>320679.93599999999</v>
      </c>
      <c r="Z97" s="28">
        <f t="shared" si="5"/>
        <v>267233.28000000003</v>
      </c>
      <c r="AA97" s="28">
        <f t="shared" si="5"/>
        <v>0</v>
      </c>
      <c r="AB97" s="28">
        <f t="shared" ref="AB97:AB98" si="6">SUM(F97:AA97)</f>
        <v>265651073.00400004</v>
      </c>
    </row>
    <row r="98" spans="1:28">
      <c r="A98" s="77" t="s">
        <v>3</v>
      </c>
      <c r="B98" s="78"/>
      <c r="C98" s="78"/>
      <c r="D98" s="78"/>
      <c r="E98" s="79"/>
      <c r="F98" s="28">
        <f>+((F3*F93)/F6*F7)</f>
        <v>5006149.5791999996</v>
      </c>
      <c r="G98" s="28">
        <f>+((G3*G93)/G6*G7)</f>
        <v>44938319.33952</v>
      </c>
      <c r="H98" s="28">
        <f t="shared" ref="H98:AA98" si="7">+((H3*H93)/H6*H7)</f>
        <v>3510806.1984000001</v>
      </c>
      <c r="I98" s="28"/>
      <c r="J98" s="28">
        <f t="shared" si="7"/>
        <v>2886662.8742400003</v>
      </c>
      <c r="K98" s="28">
        <f t="shared" si="7"/>
        <v>234053.74656</v>
      </c>
      <c r="L98" s="28">
        <f t="shared" si="7"/>
        <v>1966051.471104</v>
      </c>
      <c r="M98" s="28">
        <f t="shared" si="7"/>
        <v>217261.45079999999</v>
      </c>
      <c r="N98" s="28">
        <f t="shared" si="7"/>
        <v>434522.90159999987</v>
      </c>
      <c r="O98" s="28">
        <f t="shared" si="7"/>
        <v>2433328.24896</v>
      </c>
      <c r="P98" s="28">
        <f t="shared" si="7"/>
        <v>616908.0268799999</v>
      </c>
      <c r="Q98" s="28">
        <f t="shared" si="7"/>
        <v>308454.01343999995</v>
      </c>
      <c r="R98" s="28">
        <f t="shared" si="7"/>
        <v>2220868.896768</v>
      </c>
      <c r="S98" s="28">
        <f t="shared" si="7"/>
        <v>196853.5926</v>
      </c>
      <c r="T98" s="28">
        <f t="shared" si="7"/>
        <v>0</v>
      </c>
      <c r="U98" s="28">
        <f t="shared" si="7"/>
        <v>601497.08850000007</v>
      </c>
      <c r="V98" s="28">
        <f t="shared" si="7"/>
        <v>136297.30179999999</v>
      </c>
      <c r="W98" s="28">
        <f t="shared" si="7"/>
        <v>0</v>
      </c>
      <c r="X98" s="28">
        <f t="shared" si="7"/>
        <v>0</v>
      </c>
      <c r="Y98" s="28">
        <f t="shared" si="7"/>
        <v>82254.403584</v>
      </c>
      <c r="Z98" s="28">
        <f t="shared" si="7"/>
        <v>68545.336320000002</v>
      </c>
      <c r="AA98" s="28">
        <f t="shared" si="7"/>
        <v>0</v>
      </c>
      <c r="AB98" s="28">
        <f t="shared" si="6"/>
        <v>65858834.47027602</v>
      </c>
    </row>
    <row r="99" spans="1:28">
      <c r="A99" s="77" t="s">
        <v>4</v>
      </c>
      <c r="B99" s="78"/>
      <c r="C99" s="78"/>
      <c r="D99" s="78"/>
      <c r="E99" s="79"/>
      <c r="F99" s="28">
        <f>+F96+F97+F98</f>
        <v>268487706.37919998</v>
      </c>
      <c r="G99" s="28">
        <f t="shared" ref="G99:AA99" si="8">+G96+G97+G98</f>
        <v>2410113021.4195199</v>
      </c>
      <c r="H99" s="28">
        <f t="shared" si="8"/>
        <v>188290079.79839998</v>
      </c>
      <c r="I99" s="28"/>
      <c r="J99" s="28">
        <f t="shared" si="8"/>
        <v>154816287.83424002</v>
      </c>
      <c r="K99" s="28">
        <f t="shared" si="8"/>
        <v>12552671.98656</v>
      </c>
      <c r="L99" s="28">
        <f t="shared" si="8"/>
        <v>105442444.68710402</v>
      </c>
      <c r="M99" s="28">
        <f t="shared" si="8"/>
        <v>11652074.650799999</v>
      </c>
      <c r="N99" s="28">
        <f t="shared" si="8"/>
        <v>23304149.301599998</v>
      </c>
      <c r="O99" s="28">
        <f t="shared" si="8"/>
        <v>130503236.08896001</v>
      </c>
      <c r="P99" s="28">
        <f t="shared" si="8"/>
        <v>33085751.546879999</v>
      </c>
      <c r="Q99" s="28">
        <f t="shared" si="8"/>
        <v>16542875.77344</v>
      </c>
      <c r="R99" s="28">
        <f t="shared" si="8"/>
        <v>119108705.56876801</v>
      </c>
      <c r="S99" s="28">
        <f t="shared" si="8"/>
        <v>10557568.9926</v>
      </c>
      <c r="T99" s="28">
        <f t="shared" si="8"/>
        <v>0</v>
      </c>
      <c r="U99" s="28">
        <f t="shared" si="8"/>
        <v>32259238.588500001</v>
      </c>
      <c r="V99" s="28">
        <f t="shared" si="8"/>
        <v>7309839.5017999997</v>
      </c>
      <c r="W99" s="28">
        <f t="shared" si="8"/>
        <v>0</v>
      </c>
      <c r="X99" s="28">
        <f t="shared" si="8"/>
        <v>0</v>
      </c>
      <c r="Y99" s="28">
        <f t="shared" si="8"/>
        <v>4411433.5395839997</v>
      </c>
      <c r="Z99" s="28">
        <f t="shared" si="8"/>
        <v>3676194.61632</v>
      </c>
      <c r="AA99" s="28">
        <f t="shared" si="8"/>
        <v>0</v>
      </c>
      <c r="AB99" s="28">
        <f>SUM(F99:AA99)</f>
        <v>3532113280.2742763</v>
      </c>
    </row>
    <row r="102" spans="1:28">
      <c r="Y102" s="29">
        <f>AB99*9</f>
        <v>31789019522.468487</v>
      </c>
      <c r="AA102" s="142"/>
      <c r="AB102" s="143"/>
    </row>
    <row r="103" spans="1:28">
      <c r="AA103" s="144"/>
      <c r="AB103" s="145"/>
    </row>
    <row r="104" spans="1:28">
      <c r="AA104" s="146"/>
      <c r="AB104" s="147"/>
    </row>
    <row r="105" spans="1:28">
      <c r="AA105" s="146"/>
      <c r="AB105" s="147"/>
    </row>
    <row r="106" spans="1:28">
      <c r="B106" s="35" t="s">
        <v>192</v>
      </c>
      <c r="C106" s="39" t="s">
        <v>200</v>
      </c>
      <c r="D106" s="39" t="s">
        <v>201</v>
      </c>
      <c r="AA106" s="146"/>
      <c r="AB106" s="147"/>
    </row>
    <row r="107" spans="1:28">
      <c r="C107" s="40">
        <v>218</v>
      </c>
      <c r="D107" s="40">
        <v>225</v>
      </c>
      <c r="AB107" s="30"/>
    </row>
    <row r="108" spans="1:28">
      <c r="U108" s="31"/>
      <c r="V108" s="33">
        <v>0.23</v>
      </c>
      <c r="X108" s="31"/>
    </row>
    <row r="109" spans="1:28">
      <c r="B109" s="73" t="s">
        <v>199</v>
      </c>
      <c r="C109" s="73"/>
      <c r="D109" s="73"/>
      <c r="E109" s="73" t="s">
        <v>2</v>
      </c>
      <c r="F109" s="73"/>
      <c r="U109" s="31"/>
      <c r="V109" s="34">
        <f>+AB99</f>
        <v>3532113280.2742763</v>
      </c>
      <c r="X109" s="31"/>
      <c r="AB109" s="29"/>
    </row>
    <row r="110" spans="1:28">
      <c r="B110" s="35" t="s">
        <v>193</v>
      </c>
      <c r="C110" s="35">
        <v>2</v>
      </c>
      <c r="D110" s="36">
        <v>24</v>
      </c>
      <c r="E110" s="37">
        <v>37073</v>
      </c>
      <c r="F110" s="38">
        <v>0.82</v>
      </c>
      <c r="X110" s="31"/>
      <c r="AB110" s="31"/>
    </row>
    <row r="111" spans="1:28">
      <c r="B111" s="35" t="s">
        <v>196</v>
      </c>
      <c r="C111" s="35">
        <v>1</v>
      </c>
      <c r="D111" s="36">
        <v>24</v>
      </c>
      <c r="E111" s="37">
        <v>42186</v>
      </c>
      <c r="F111" s="38">
        <v>0.36499999999999999</v>
      </c>
      <c r="X111" s="31"/>
      <c r="AB111" s="31"/>
    </row>
    <row r="112" spans="1:28">
      <c r="B112" s="35" t="s">
        <v>195</v>
      </c>
      <c r="C112" s="35">
        <v>1</v>
      </c>
      <c r="D112" s="35">
        <v>24</v>
      </c>
      <c r="X112" s="31"/>
      <c r="AB112" s="31"/>
    </row>
    <row r="113" spans="2:28">
      <c r="B113" s="35" t="s">
        <v>194</v>
      </c>
      <c r="C113" s="35">
        <v>1</v>
      </c>
      <c r="D113" s="35">
        <v>24</v>
      </c>
      <c r="AB113" s="31"/>
    </row>
    <row r="114" spans="2:28">
      <c r="B114" s="35" t="s">
        <v>197</v>
      </c>
      <c r="C114" s="35">
        <v>1</v>
      </c>
      <c r="D114" s="35">
        <v>16</v>
      </c>
      <c r="AB114" s="31"/>
    </row>
    <row r="115" spans="2:28">
      <c r="B115" s="35" t="s">
        <v>198</v>
      </c>
      <c r="C115" s="35">
        <v>1</v>
      </c>
      <c r="D115" s="35">
        <v>16</v>
      </c>
      <c r="V115" s="32"/>
      <c r="AB115" s="31"/>
    </row>
    <row r="116" spans="2:28">
      <c r="AB116" s="31"/>
    </row>
    <row r="117" spans="2:28">
      <c r="B117" s="49" t="s">
        <v>202</v>
      </c>
      <c r="C117" s="50">
        <v>3532113280.2742763</v>
      </c>
      <c r="AB117" s="31"/>
    </row>
    <row r="118" spans="2:28">
      <c r="AB118" s="31"/>
    </row>
    <row r="119" spans="2:28">
      <c r="B119" s="35" t="s">
        <v>4</v>
      </c>
      <c r="C119" s="58">
        <f>+C117*9</f>
        <v>31789019522.468487</v>
      </c>
      <c r="D119" s="72" t="s">
        <v>218</v>
      </c>
      <c r="E119" s="52" t="s">
        <v>204</v>
      </c>
      <c r="F119" s="52" t="s">
        <v>205</v>
      </c>
      <c r="G119" s="52" t="s">
        <v>206</v>
      </c>
      <c r="H119" s="52" t="s">
        <v>207</v>
      </c>
      <c r="I119" s="53" t="s">
        <v>215</v>
      </c>
      <c r="J119" s="52" t="s">
        <v>208</v>
      </c>
      <c r="K119" s="52" t="s">
        <v>209</v>
      </c>
      <c r="L119" s="52" t="s">
        <v>210</v>
      </c>
      <c r="M119" s="52" t="s">
        <v>211</v>
      </c>
      <c r="N119" s="52" t="s">
        <v>212</v>
      </c>
      <c r="O119" s="54" t="s">
        <v>4</v>
      </c>
    </row>
    <row r="120" spans="2:28">
      <c r="B120" s="35"/>
      <c r="C120" s="35"/>
      <c r="D120" s="72"/>
      <c r="E120" s="55">
        <v>3570468666.8998761</v>
      </c>
      <c r="F120" s="55">
        <v>3570468666.8998761</v>
      </c>
      <c r="G120" s="55">
        <v>3570468666.8998761</v>
      </c>
      <c r="H120" s="55">
        <v>3570468666.8998761</v>
      </c>
      <c r="I120" s="56">
        <f>H120*1.0365</f>
        <v>3700790773.2417216</v>
      </c>
      <c r="J120" s="55">
        <f>+I120*2</f>
        <v>7401581546.4834433</v>
      </c>
      <c r="K120" s="57">
        <f>+J120</f>
        <v>7401581546.4834433</v>
      </c>
      <c r="L120" s="57">
        <f>+K120</f>
        <v>7401581546.4834433</v>
      </c>
      <c r="M120" s="57">
        <f>+L120</f>
        <v>7401581546.4834433</v>
      </c>
      <c r="N120" s="57">
        <f>+M120</f>
        <v>7401581546.4834433</v>
      </c>
      <c r="O120" s="57">
        <f>SUM(E120:N120)</f>
        <v>54990573173.258446</v>
      </c>
    </row>
    <row r="121" spans="2:28">
      <c r="B121" s="35" t="s">
        <v>203</v>
      </c>
      <c r="C121" s="55">
        <v>3655966726.000196</v>
      </c>
      <c r="D121" s="38" t="s">
        <v>227</v>
      </c>
      <c r="E121" s="65">
        <f>'MEDIOS TECNOLOGICOS'!K99</f>
        <v>26748224.921000004</v>
      </c>
      <c r="F121" s="65">
        <v>26748224.921000004</v>
      </c>
      <c r="G121" s="65">
        <v>26748224.921000004</v>
      </c>
      <c r="H121" s="65">
        <v>26748224.921000004</v>
      </c>
      <c r="I121" s="65">
        <v>26748224.921000004</v>
      </c>
      <c r="J121" s="65">
        <v>26748224.921000004</v>
      </c>
      <c r="K121" s="65">
        <v>26748224.921000004</v>
      </c>
      <c r="L121" s="65">
        <v>26748224.921000004</v>
      </c>
      <c r="M121" s="65">
        <v>26748224.921000004</v>
      </c>
      <c r="N121" s="65">
        <v>26748224.921000004</v>
      </c>
      <c r="O121" s="66">
        <f>N121*9</f>
        <v>240734024.28900003</v>
      </c>
    </row>
    <row r="122" spans="2:28" ht="17">
      <c r="B122" s="35" t="s">
        <v>4</v>
      </c>
      <c r="C122" s="55">
        <f>+C121*9</f>
        <v>32903700534.001762</v>
      </c>
      <c r="N122" s="70" t="s">
        <v>216</v>
      </c>
      <c r="O122" s="68">
        <v>33174755047</v>
      </c>
    </row>
    <row r="123" spans="2:28">
      <c r="I123" s="51"/>
    </row>
    <row r="124" spans="2:28">
      <c r="H124" s="30"/>
      <c r="N124" s="54" t="s">
        <v>217</v>
      </c>
      <c r="O124" s="67">
        <f>O122-(O120+O121)</f>
        <v>-22056552150.547447</v>
      </c>
    </row>
    <row r="125" spans="2:28">
      <c r="B125" s="35" t="s">
        <v>213</v>
      </c>
      <c r="C125" s="55">
        <f>E121*9</f>
        <v>240734024.28900003</v>
      </c>
    </row>
    <row r="126" spans="2:28">
      <c r="B126" s="35" t="s">
        <v>226</v>
      </c>
      <c r="C126" s="65">
        <f>E121</f>
        <v>26748224.921000004</v>
      </c>
      <c r="H126" s="51"/>
    </row>
  </sheetData>
  <mergeCells count="8">
    <mergeCell ref="D119:D120"/>
    <mergeCell ref="E109:F109"/>
    <mergeCell ref="B109:D109"/>
    <mergeCell ref="A1:D4"/>
    <mergeCell ref="A96:E96"/>
    <mergeCell ref="A97:E97"/>
    <mergeCell ref="A98:E98"/>
    <mergeCell ref="A99:E99"/>
  </mergeCells>
  <phoneticPr fontId="7" type="noConversion"/>
  <pageMargins left="0.7" right="0.7" top="0.75" bottom="0.75" header="0.3" footer="0.3"/>
  <pageSetup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3D90C-C69C-4B34-A8E7-FBDD3F76F404}">
  <dimension ref="A1:K99"/>
  <sheetViews>
    <sheetView topLeftCell="D91" workbookViewId="0">
      <selection activeCell="K99" sqref="K99"/>
    </sheetView>
  </sheetViews>
  <sheetFormatPr baseColWidth="10" defaultRowHeight="12.5"/>
  <cols>
    <col min="1" max="1" width="13.4140625" style="94" customWidth="1"/>
    <col min="2" max="2" width="45.1640625" style="94" customWidth="1"/>
    <col min="3" max="3" width="30.4140625" style="94" customWidth="1"/>
    <col min="4" max="4" width="12.08203125" style="94" customWidth="1"/>
    <col min="5" max="5" width="18" style="94" customWidth="1"/>
    <col min="6" max="6" width="21.58203125" style="94" customWidth="1"/>
    <col min="7" max="7" width="16.6640625" style="94" customWidth="1"/>
    <col min="8" max="8" width="20.9140625" style="94" customWidth="1"/>
    <col min="9" max="9" width="18.4140625" style="94" customWidth="1"/>
    <col min="10" max="10" width="15.83203125" style="94" customWidth="1"/>
    <col min="11" max="11" width="13.9140625" style="94" customWidth="1"/>
    <col min="12" max="16384" width="10.6640625" style="94"/>
  </cols>
  <sheetData>
    <row r="1" spans="1:11" ht="13" thickBot="1"/>
    <row r="2" spans="1:11" ht="13">
      <c r="A2" s="95" t="s">
        <v>228</v>
      </c>
      <c r="B2" s="96"/>
      <c r="C2" s="96"/>
      <c r="D2" s="97"/>
      <c r="E2" s="59">
        <v>12349.991176470588</v>
      </c>
      <c r="F2" s="60">
        <v>47998.412184873945</v>
      </c>
      <c r="G2" s="60">
        <v>61487.467226890752</v>
      </c>
      <c r="H2" s="60">
        <v>44646.578151260503</v>
      </c>
      <c r="I2" s="60">
        <v>140788.95840336135</v>
      </c>
      <c r="J2" s="60">
        <v>47376.135714285709</v>
      </c>
      <c r="K2" s="98"/>
    </row>
    <row r="3" spans="1:11" ht="13.5" thickBot="1">
      <c r="A3" s="95"/>
      <c r="B3" s="96"/>
      <c r="C3" s="96"/>
      <c r="D3" s="97"/>
      <c r="E3" s="61">
        <f>E2*0.19</f>
        <v>2346.4983235294117</v>
      </c>
      <c r="F3" s="61">
        <f t="shared" ref="F3:J3" si="0">F2*0.19</f>
        <v>9119.6983151260501</v>
      </c>
      <c r="G3" s="61">
        <f t="shared" si="0"/>
        <v>11682.618773109243</v>
      </c>
      <c r="H3" s="61">
        <f t="shared" si="0"/>
        <v>8482.8498487394954</v>
      </c>
      <c r="I3" s="61">
        <f t="shared" si="0"/>
        <v>26749.902096638656</v>
      </c>
      <c r="J3" s="61">
        <f t="shared" si="0"/>
        <v>9001.4657857142847</v>
      </c>
      <c r="K3" s="98"/>
    </row>
    <row r="4" spans="1:11" ht="13">
      <c r="A4" s="95"/>
      <c r="B4" s="96"/>
      <c r="C4" s="96"/>
      <c r="D4" s="97"/>
      <c r="E4" s="71" t="s">
        <v>219</v>
      </c>
      <c r="F4" s="71"/>
      <c r="G4" s="71"/>
      <c r="H4" s="71"/>
      <c r="I4" s="71"/>
      <c r="J4" s="71"/>
      <c r="K4" s="98"/>
    </row>
    <row r="5" spans="1:11" ht="16">
      <c r="A5" s="95"/>
      <c r="B5" s="96"/>
      <c r="C5" s="96"/>
      <c r="D5" s="97"/>
      <c r="E5" s="99">
        <f>(E2+E3)</f>
        <v>14696.4895</v>
      </c>
      <c r="F5" s="99">
        <f t="shared" ref="F5:J5" si="1">(F2+F3)</f>
        <v>57118.110499999995</v>
      </c>
      <c r="G5" s="99">
        <f t="shared" si="1"/>
        <v>73170.085999999996</v>
      </c>
      <c r="H5" s="99">
        <f t="shared" si="1"/>
        <v>53129.428</v>
      </c>
      <c r="I5" s="99">
        <f t="shared" si="1"/>
        <v>167538.86050000001</v>
      </c>
      <c r="J5" s="99">
        <f t="shared" si="1"/>
        <v>56377.60149999999</v>
      </c>
      <c r="K5" s="98"/>
    </row>
    <row r="6" spans="1:11" ht="39">
      <c r="A6" s="100" t="s">
        <v>5</v>
      </c>
      <c r="B6" s="101" t="s">
        <v>6</v>
      </c>
      <c r="C6" s="101" t="s">
        <v>7</v>
      </c>
      <c r="D6" s="101" t="s">
        <v>8</v>
      </c>
      <c r="E6" s="69" t="s">
        <v>220</v>
      </c>
      <c r="F6" s="69" t="s">
        <v>221</v>
      </c>
      <c r="G6" s="69" t="s">
        <v>222</v>
      </c>
      <c r="H6" s="69" t="s">
        <v>223</v>
      </c>
      <c r="I6" s="69" t="s">
        <v>224</v>
      </c>
      <c r="J6" s="69" t="s">
        <v>225</v>
      </c>
      <c r="K6" s="98"/>
    </row>
    <row r="7" spans="1:11" ht="13">
      <c r="A7" s="102" t="s">
        <v>79</v>
      </c>
      <c r="B7" s="103" t="s">
        <v>80</v>
      </c>
      <c r="C7" s="103" t="s">
        <v>81</v>
      </c>
      <c r="D7" s="103" t="s">
        <v>82</v>
      </c>
      <c r="E7" s="80">
        <v>8</v>
      </c>
      <c r="F7" s="62">
        <v>0</v>
      </c>
      <c r="G7" s="62">
        <v>1</v>
      </c>
      <c r="H7" s="62">
        <v>1</v>
      </c>
      <c r="I7" s="62">
        <v>1</v>
      </c>
      <c r="J7" s="62">
        <v>0</v>
      </c>
      <c r="K7" s="98"/>
    </row>
    <row r="8" spans="1:11" ht="13">
      <c r="A8" s="102" t="s">
        <v>79</v>
      </c>
      <c r="B8" s="103" t="s">
        <v>83</v>
      </c>
      <c r="C8" s="103" t="s">
        <v>84</v>
      </c>
      <c r="D8" s="103" t="s">
        <v>82</v>
      </c>
      <c r="E8" s="80"/>
      <c r="F8" s="62"/>
      <c r="G8" s="62"/>
      <c r="H8" s="62"/>
      <c r="I8" s="62"/>
      <c r="J8" s="62"/>
      <c r="K8" s="98"/>
    </row>
    <row r="9" spans="1:11" ht="13">
      <c r="A9" s="104" t="s">
        <v>79</v>
      </c>
      <c r="B9" s="105" t="s">
        <v>85</v>
      </c>
      <c r="C9" s="105" t="s">
        <v>86</v>
      </c>
      <c r="D9" s="105" t="s">
        <v>82</v>
      </c>
      <c r="E9" s="80">
        <v>35</v>
      </c>
      <c r="F9" s="62">
        <v>4</v>
      </c>
      <c r="G9" s="62">
        <v>3</v>
      </c>
      <c r="H9" s="62">
        <v>3</v>
      </c>
      <c r="I9" s="62">
        <v>1</v>
      </c>
      <c r="J9" s="62">
        <v>2</v>
      </c>
      <c r="K9" s="98"/>
    </row>
    <row r="10" spans="1:11" ht="13">
      <c r="A10" s="104" t="s">
        <v>79</v>
      </c>
      <c r="B10" s="105" t="s">
        <v>166</v>
      </c>
      <c r="C10" s="105" t="s">
        <v>167</v>
      </c>
      <c r="D10" s="105" t="s">
        <v>168</v>
      </c>
      <c r="E10" s="80">
        <v>5</v>
      </c>
      <c r="F10" s="62">
        <v>0</v>
      </c>
      <c r="G10" s="62">
        <v>1</v>
      </c>
      <c r="H10" s="62">
        <v>1</v>
      </c>
      <c r="I10" s="62">
        <v>1</v>
      </c>
      <c r="J10" s="62">
        <v>1</v>
      </c>
      <c r="K10" s="98"/>
    </row>
    <row r="11" spans="1:11" ht="26">
      <c r="A11" s="106"/>
      <c r="B11" s="107"/>
      <c r="C11" s="107"/>
      <c r="D11" s="108" t="s">
        <v>229</v>
      </c>
      <c r="E11" s="109">
        <f>SUM(E7:E10)</f>
        <v>48</v>
      </c>
      <c r="F11" s="109">
        <f t="shared" ref="F11:J11" si="2">SUM(F7:F10)</f>
        <v>4</v>
      </c>
      <c r="G11" s="109">
        <f t="shared" si="2"/>
        <v>5</v>
      </c>
      <c r="H11" s="109">
        <f t="shared" si="2"/>
        <v>5</v>
      </c>
      <c r="I11" s="109">
        <f t="shared" si="2"/>
        <v>3</v>
      </c>
      <c r="J11" s="109">
        <f t="shared" si="2"/>
        <v>3</v>
      </c>
      <c r="K11" s="98"/>
    </row>
    <row r="12" spans="1:11" ht="13">
      <c r="A12" s="104" t="s">
        <v>93</v>
      </c>
      <c r="B12" s="105" t="s">
        <v>94</v>
      </c>
      <c r="C12" s="105" t="s">
        <v>95</v>
      </c>
      <c r="D12" s="105" t="s">
        <v>96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98"/>
    </row>
    <row r="13" spans="1:11" ht="13">
      <c r="A13" s="104" t="s">
        <v>93</v>
      </c>
      <c r="B13" s="105" t="s">
        <v>114</v>
      </c>
      <c r="C13" s="105" t="s">
        <v>145</v>
      </c>
      <c r="D13" s="105" t="s">
        <v>146</v>
      </c>
      <c r="E13" s="62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98"/>
    </row>
    <row r="14" spans="1:11" ht="13">
      <c r="A14" s="104" t="s">
        <v>93</v>
      </c>
      <c r="B14" s="105" t="s">
        <v>147</v>
      </c>
      <c r="C14" s="105" t="s">
        <v>148</v>
      </c>
      <c r="D14" s="105" t="s">
        <v>146</v>
      </c>
      <c r="E14" s="62">
        <v>24</v>
      </c>
      <c r="F14" s="62">
        <v>0</v>
      </c>
      <c r="G14" s="62">
        <v>2</v>
      </c>
      <c r="H14" s="62">
        <v>2</v>
      </c>
      <c r="I14" s="62">
        <v>0</v>
      </c>
      <c r="J14" s="62">
        <v>1</v>
      </c>
      <c r="K14" s="98"/>
    </row>
    <row r="15" spans="1:11" ht="13">
      <c r="A15" s="104" t="s">
        <v>93</v>
      </c>
      <c r="B15" s="105" t="s">
        <v>147</v>
      </c>
      <c r="C15" s="105" t="s">
        <v>149</v>
      </c>
      <c r="D15" s="105" t="s">
        <v>146</v>
      </c>
      <c r="E15" s="62">
        <v>0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98"/>
    </row>
    <row r="16" spans="1:11" ht="13">
      <c r="A16" s="104" t="s">
        <v>93</v>
      </c>
      <c r="B16" s="105" t="s">
        <v>150</v>
      </c>
      <c r="C16" s="105" t="s">
        <v>151</v>
      </c>
      <c r="D16" s="105" t="s">
        <v>146</v>
      </c>
      <c r="E16" s="62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98"/>
    </row>
    <row r="17" spans="1:11" ht="13">
      <c r="A17" s="104" t="s">
        <v>93</v>
      </c>
      <c r="B17" s="105" t="s">
        <v>150</v>
      </c>
      <c r="C17" s="105" t="s">
        <v>152</v>
      </c>
      <c r="D17" s="105" t="s">
        <v>146</v>
      </c>
      <c r="E17" s="63"/>
      <c r="F17" s="63"/>
      <c r="G17" s="63"/>
      <c r="H17" s="63"/>
      <c r="I17" s="63"/>
      <c r="J17" s="63"/>
      <c r="K17" s="98"/>
    </row>
    <row r="18" spans="1:11" ht="13">
      <c r="A18" s="104" t="s">
        <v>93</v>
      </c>
      <c r="B18" s="105" t="s">
        <v>150</v>
      </c>
      <c r="C18" s="105" t="s">
        <v>152</v>
      </c>
      <c r="D18" s="105" t="s">
        <v>146</v>
      </c>
      <c r="E18" s="89">
        <v>47</v>
      </c>
      <c r="F18" s="89">
        <v>3</v>
      </c>
      <c r="G18" s="89">
        <v>5</v>
      </c>
      <c r="H18" s="89">
        <v>3</v>
      </c>
      <c r="I18" s="89">
        <v>0</v>
      </c>
      <c r="J18" s="89">
        <v>3</v>
      </c>
      <c r="K18" s="110"/>
    </row>
    <row r="19" spans="1:11" ht="13">
      <c r="A19" s="104" t="s">
        <v>93</v>
      </c>
      <c r="B19" s="105" t="s">
        <v>94</v>
      </c>
      <c r="C19" s="105" t="s">
        <v>153</v>
      </c>
      <c r="D19" s="105" t="s">
        <v>146</v>
      </c>
      <c r="E19" s="90">
        <v>64</v>
      </c>
      <c r="F19" s="90">
        <v>0</v>
      </c>
      <c r="G19" s="90">
        <v>4</v>
      </c>
      <c r="H19" s="90">
        <v>4</v>
      </c>
      <c r="I19" s="90">
        <v>0</v>
      </c>
      <c r="J19" s="90">
        <v>0</v>
      </c>
      <c r="K19" s="111"/>
    </row>
    <row r="20" spans="1:11" ht="13">
      <c r="A20" s="104" t="s">
        <v>93</v>
      </c>
      <c r="B20" s="105" t="s">
        <v>94</v>
      </c>
      <c r="C20" s="105" t="s">
        <v>169</v>
      </c>
      <c r="D20" s="105" t="s">
        <v>170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112">
        <v>0</v>
      </c>
      <c r="K20" s="98"/>
    </row>
    <row r="21" spans="1:11" ht="13">
      <c r="A21" s="104" t="s">
        <v>93</v>
      </c>
      <c r="B21" s="105" t="s">
        <v>94</v>
      </c>
      <c r="C21" s="105" t="s">
        <v>171</v>
      </c>
      <c r="D21" s="105" t="s">
        <v>170</v>
      </c>
      <c r="E21" s="81">
        <v>0</v>
      </c>
      <c r="F21" s="81">
        <v>0</v>
      </c>
      <c r="G21" s="81">
        <v>0</v>
      </c>
      <c r="H21" s="81">
        <v>0</v>
      </c>
      <c r="I21" s="81">
        <v>0</v>
      </c>
      <c r="J21" s="81">
        <v>0</v>
      </c>
      <c r="K21" s="98"/>
    </row>
    <row r="22" spans="1:11" ht="13">
      <c r="A22" s="104" t="s">
        <v>93</v>
      </c>
      <c r="B22" s="105" t="s">
        <v>190</v>
      </c>
      <c r="C22" s="105"/>
      <c r="D22" s="105" t="s">
        <v>146</v>
      </c>
      <c r="E22" s="81">
        <v>0</v>
      </c>
      <c r="F22" s="81">
        <v>0</v>
      </c>
      <c r="G22" s="81">
        <v>0</v>
      </c>
      <c r="H22" s="81">
        <v>0</v>
      </c>
      <c r="I22" s="81">
        <v>0</v>
      </c>
      <c r="J22" s="81">
        <v>0</v>
      </c>
      <c r="K22" s="98"/>
    </row>
    <row r="23" spans="1:11" ht="26">
      <c r="A23" s="106"/>
      <c r="B23" s="107"/>
      <c r="C23" s="107"/>
      <c r="D23" s="108" t="s">
        <v>229</v>
      </c>
      <c r="E23" s="113">
        <f>SUM(E12:E22)</f>
        <v>135</v>
      </c>
      <c r="F23" s="113">
        <f t="shared" ref="F23:J23" si="3">SUM(F12:F22)</f>
        <v>3</v>
      </c>
      <c r="G23" s="113">
        <f t="shared" si="3"/>
        <v>11</v>
      </c>
      <c r="H23" s="113">
        <f t="shared" si="3"/>
        <v>9</v>
      </c>
      <c r="I23" s="113">
        <f t="shared" si="3"/>
        <v>0</v>
      </c>
      <c r="J23" s="113">
        <f t="shared" si="3"/>
        <v>4</v>
      </c>
      <c r="K23" s="98"/>
    </row>
    <row r="24" spans="1:11" ht="13">
      <c r="A24" s="104" t="s">
        <v>69</v>
      </c>
      <c r="B24" s="105" t="s">
        <v>70</v>
      </c>
      <c r="C24" s="105" t="s">
        <v>71</v>
      </c>
      <c r="D24" s="105" t="s">
        <v>72</v>
      </c>
      <c r="E24" s="81">
        <v>3</v>
      </c>
      <c r="F24" s="81">
        <v>0</v>
      </c>
      <c r="G24" s="81">
        <v>1</v>
      </c>
      <c r="H24" s="81">
        <v>1</v>
      </c>
      <c r="I24" s="81">
        <v>1</v>
      </c>
      <c r="J24" s="114">
        <v>0</v>
      </c>
      <c r="K24" s="98"/>
    </row>
    <row r="25" spans="1:11" ht="13">
      <c r="A25" s="104" t="s">
        <v>69</v>
      </c>
      <c r="B25" s="105" t="s">
        <v>73</v>
      </c>
      <c r="C25" s="105" t="s">
        <v>74</v>
      </c>
      <c r="D25" s="105" t="s">
        <v>72</v>
      </c>
      <c r="E25" s="81">
        <v>2</v>
      </c>
      <c r="F25" s="81">
        <v>0</v>
      </c>
      <c r="G25" s="81">
        <v>0</v>
      </c>
      <c r="H25" s="81">
        <v>0</v>
      </c>
      <c r="I25" s="81">
        <v>0</v>
      </c>
      <c r="J25" s="114">
        <v>1</v>
      </c>
      <c r="K25" s="98"/>
    </row>
    <row r="26" spans="1:11" ht="13">
      <c r="A26" s="104" t="s">
        <v>69</v>
      </c>
      <c r="B26" s="105" t="s">
        <v>87</v>
      </c>
      <c r="C26" s="105" t="s">
        <v>88</v>
      </c>
      <c r="D26" s="105" t="s">
        <v>89</v>
      </c>
      <c r="E26" s="81">
        <v>19</v>
      </c>
      <c r="F26" s="81">
        <v>0</v>
      </c>
      <c r="G26" s="81">
        <v>2</v>
      </c>
      <c r="H26" s="81">
        <v>1</v>
      </c>
      <c r="I26" s="81">
        <v>0</v>
      </c>
      <c r="J26" s="114">
        <v>1</v>
      </c>
      <c r="K26" s="98"/>
    </row>
    <row r="27" spans="1:11" ht="13">
      <c r="A27" s="104" t="s">
        <v>69</v>
      </c>
      <c r="B27" s="105" t="s">
        <v>90</v>
      </c>
      <c r="C27" s="105" t="s">
        <v>91</v>
      </c>
      <c r="D27" s="105" t="s">
        <v>89</v>
      </c>
      <c r="E27" s="81">
        <v>0</v>
      </c>
      <c r="F27" s="81">
        <v>0</v>
      </c>
      <c r="G27" s="81">
        <v>0</v>
      </c>
      <c r="H27" s="81">
        <v>0</v>
      </c>
      <c r="I27" s="81">
        <v>0</v>
      </c>
      <c r="J27" s="114">
        <v>0</v>
      </c>
      <c r="K27" s="98"/>
    </row>
    <row r="28" spans="1:11" ht="13">
      <c r="A28" s="104" t="s">
        <v>69</v>
      </c>
      <c r="B28" s="105" t="s">
        <v>90</v>
      </c>
      <c r="C28" s="105" t="s">
        <v>92</v>
      </c>
      <c r="D28" s="105" t="s">
        <v>89</v>
      </c>
      <c r="E28" s="81">
        <v>21</v>
      </c>
      <c r="F28" s="81">
        <v>3</v>
      </c>
      <c r="G28" s="81">
        <v>2</v>
      </c>
      <c r="H28" s="81">
        <v>2</v>
      </c>
      <c r="I28" s="81">
        <v>1</v>
      </c>
      <c r="J28" s="114">
        <v>4</v>
      </c>
      <c r="K28" s="98"/>
    </row>
    <row r="29" spans="1:11" ht="13">
      <c r="A29" s="104" t="s">
        <v>69</v>
      </c>
      <c r="B29" s="105" t="s">
        <v>103</v>
      </c>
      <c r="C29" s="105" t="s">
        <v>104</v>
      </c>
      <c r="D29" s="105" t="s">
        <v>105</v>
      </c>
      <c r="E29" s="81">
        <v>6</v>
      </c>
      <c r="F29" s="81">
        <v>2</v>
      </c>
      <c r="G29" s="81">
        <v>1</v>
      </c>
      <c r="H29" s="81">
        <v>1</v>
      </c>
      <c r="I29" s="81">
        <v>0</v>
      </c>
      <c r="J29" s="114">
        <v>1</v>
      </c>
      <c r="K29" s="98"/>
    </row>
    <row r="30" spans="1:11" ht="13">
      <c r="A30" s="104" t="s">
        <v>69</v>
      </c>
      <c r="B30" s="105" t="s">
        <v>103</v>
      </c>
      <c r="C30" s="105" t="s">
        <v>106</v>
      </c>
      <c r="D30" s="105" t="s">
        <v>105</v>
      </c>
      <c r="E30" s="82">
        <v>4</v>
      </c>
      <c r="F30" s="82">
        <v>2</v>
      </c>
      <c r="G30" s="82">
        <v>1</v>
      </c>
      <c r="H30" s="82">
        <v>1</v>
      </c>
      <c r="I30" s="82">
        <v>0</v>
      </c>
      <c r="J30" s="115">
        <v>2</v>
      </c>
      <c r="K30" s="98"/>
    </row>
    <row r="31" spans="1:11" ht="13">
      <c r="A31" s="104" t="s">
        <v>69</v>
      </c>
      <c r="B31" s="105" t="s">
        <v>114</v>
      </c>
      <c r="C31" s="105" t="s">
        <v>115</v>
      </c>
      <c r="D31" s="105" t="s">
        <v>116</v>
      </c>
      <c r="E31" s="89">
        <v>0</v>
      </c>
      <c r="F31" s="89">
        <v>0</v>
      </c>
      <c r="G31" s="89">
        <v>0</v>
      </c>
      <c r="H31" s="89">
        <v>0</v>
      </c>
      <c r="I31" s="89">
        <v>0</v>
      </c>
      <c r="J31" s="89">
        <v>0</v>
      </c>
      <c r="K31" s="110"/>
    </row>
    <row r="32" spans="1:11" ht="13">
      <c r="A32" s="104" t="s">
        <v>69</v>
      </c>
      <c r="B32" s="105" t="s">
        <v>114</v>
      </c>
      <c r="C32" s="105" t="s">
        <v>117</v>
      </c>
      <c r="D32" s="105" t="s">
        <v>116</v>
      </c>
      <c r="E32" s="90">
        <v>29</v>
      </c>
      <c r="F32" s="90">
        <v>5</v>
      </c>
      <c r="G32" s="90">
        <v>3</v>
      </c>
      <c r="H32" s="90">
        <v>2</v>
      </c>
      <c r="I32" s="90">
        <v>1</v>
      </c>
      <c r="J32" s="90">
        <v>5</v>
      </c>
      <c r="K32" s="111"/>
    </row>
    <row r="33" spans="1:11" ht="13">
      <c r="A33" s="104" t="s">
        <v>69</v>
      </c>
      <c r="B33" s="105" t="s">
        <v>118</v>
      </c>
      <c r="C33" s="105" t="s">
        <v>119</v>
      </c>
      <c r="D33" s="105" t="s">
        <v>116</v>
      </c>
      <c r="E33" s="83">
        <v>15</v>
      </c>
      <c r="F33" s="83">
        <v>1</v>
      </c>
      <c r="G33" s="83">
        <v>1</v>
      </c>
      <c r="H33" s="83">
        <v>1</v>
      </c>
      <c r="I33" s="83">
        <v>1</v>
      </c>
      <c r="J33" s="112">
        <v>1</v>
      </c>
      <c r="K33" s="98"/>
    </row>
    <row r="34" spans="1:11" ht="13">
      <c r="A34" s="104" t="s">
        <v>69</v>
      </c>
      <c r="B34" s="105" t="s">
        <v>118</v>
      </c>
      <c r="C34" s="105" t="s">
        <v>120</v>
      </c>
      <c r="D34" s="105" t="s">
        <v>116</v>
      </c>
      <c r="E34" s="81">
        <v>0</v>
      </c>
      <c r="F34" s="81">
        <v>0</v>
      </c>
      <c r="G34" s="81">
        <v>0</v>
      </c>
      <c r="H34" s="81">
        <v>0</v>
      </c>
      <c r="I34" s="81">
        <v>0</v>
      </c>
      <c r="J34" s="114">
        <v>0</v>
      </c>
      <c r="K34" s="98"/>
    </row>
    <row r="35" spans="1:11" ht="13">
      <c r="A35" s="104" t="s">
        <v>69</v>
      </c>
      <c r="B35" s="105" t="s">
        <v>118</v>
      </c>
      <c r="C35" s="105" t="s">
        <v>121</v>
      </c>
      <c r="D35" s="105" t="s">
        <v>116</v>
      </c>
      <c r="E35" s="81"/>
      <c r="F35" s="81"/>
      <c r="G35" s="81"/>
      <c r="H35" s="81"/>
      <c r="I35" s="81"/>
      <c r="J35" s="114"/>
      <c r="K35" s="98"/>
    </row>
    <row r="36" spans="1:11" ht="13">
      <c r="A36" s="104" t="s">
        <v>69</v>
      </c>
      <c r="B36" s="105" t="s">
        <v>118</v>
      </c>
      <c r="C36" s="105" t="s">
        <v>122</v>
      </c>
      <c r="D36" s="105" t="s">
        <v>116</v>
      </c>
      <c r="E36" s="81">
        <v>10</v>
      </c>
      <c r="F36" s="81">
        <v>0</v>
      </c>
      <c r="G36" s="81">
        <v>1</v>
      </c>
      <c r="H36" s="81">
        <v>1</v>
      </c>
      <c r="I36" s="81">
        <v>0</v>
      </c>
      <c r="J36" s="114">
        <v>1</v>
      </c>
      <c r="K36" s="98"/>
    </row>
    <row r="37" spans="1:11" ht="13">
      <c r="A37" s="104" t="s">
        <v>69</v>
      </c>
      <c r="B37" s="105" t="s">
        <v>118</v>
      </c>
      <c r="C37" s="105" t="s">
        <v>123</v>
      </c>
      <c r="D37" s="105" t="s">
        <v>116</v>
      </c>
      <c r="E37" s="81">
        <v>0</v>
      </c>
      <c r="F37" s="81">
        <v>0</v>
      </c>
      <c r="G37" s="81">
        <v>0</v>
      </c>
      <c r="H37" s="81">
        <v>0</v>
      </c>
      <c r="I37" s="81">
        <v>0</v>
      </c>
      <c r="J37" s="114">
        <v>0</v>
      </c>
      <c r="K37" s="98"/>
    </row>
    <row r="38" spans="1:11" ht="13">
      <c r="A38" s="104" t="s">
        <v>69</v>
      </c>
      <c r="B38" s="105" t="s">
        <v>138</v>
      </c>
      <c r="C38" s="105" t="s">
        <v>139</v>
      </c>
      <c r="D38" s="105" t="s">
        <v>140</v>
      </c>
      <c r="E38" s="81">
        <v>10</v>
      </c>
      <c r="F38" s="81">
        <v>0</v>
      </c>
      <c r="G38" s="81">
        <v>1</v>
      </c>
      <c r="H38" s="81">
        <v>1</v>
      </c>
      <c r="I38" s="81">
        <v>1</v>
      </c>
      <c r="J38" s="114">
        <v>1</v>
      </c>
      <c r="K38" s="98"/>
    </row>
    <row r="39" spans="1:11" ht="13">
      <c r="A39" s="104" t="s">
        <v>69</v>
      </c>
      <c r="B39" s="105" t="s">
        <v>141</v>
      </c>
      <c r="C39" s="105" t="s">
        <v>142</v>
      </c>
      <c r="D39" s="105" t="s">
        <v>140</v>
      </c>
      <c r="E39" s="81">
        <v>0</v>
      </c>
      <c r="F39" s="81">
        <v>0</v>
      </c>
      <c r="G39" s="81">
        <v>0</v>
      </c>
      <c r="H39" s="81">
        <v>0</v>
      </c>
      <c r="I39" s="81">
        <v>0</v>
      </c>
      <c r="J39" s="114">
        <v>0</v>
      </c>
      <c r="K39" s="98"/>
    </row>
    <row r="40" spans="1:11" ht="13">
      <c r="A40" s="104" t="s">
        <v>69</v>
      </c>
      <c r="B40" s="105" t="s">
        <v>138</v>
      </c>
      <c r="C40" s="105" t="s">
        <v>143</v>
      </c>
      <c r="D40" s="105" t="s">
        <v>140</v>
      </c>
      <c r="E40" s="81">
        <v>0</v>
      </c>
      <c r="F40" s="81">
        <v>0</v>
      </c>
      <c r="G40" s="81">
        <v>0</v>
      </c>
      <c r="H40" s="81">
        <v>0</v>
      </c>
      <c r="I40" s="81">
        <v>0</v>
      </c>
      <c r="J40" s="116">
        <v>0</v>
      </c>
      <c r="K40" s="98"/>
    </row>
    <row r="41" spans="1:11" ht="13">
      <c r="A41" s="104" t="s">
        <v>69</v>
      </c>
      <c r="B41" s="105" t="s">
        <v>138</v>
      </c>
      <c r="C41" s="105" t="s">
        <v>144</v>
      </c>
      <c r="D41" s="105" t="s">
        <v>140</v>
      </c>
      <c r="E41" s="81">
        <v>15</v>
      </c>
      <c r="F41" s="81">
        <v>5</v>
      </c>
      <c r="G41" s="81">
        <v>1</v>
      </c>
      <c r="H41" s="81">
        <v>1</v>
      </c>
      <c r="I41" s="81">
        <v>1</v>
      </c>
      <c r="J41" s="114">
        <v>4</v>
      </c>
      <c r="K41" s="98"/>
    </row>
    <row r="42" spans="1:11" ht="13">
      <c r="A42" s="104" t="s">
        <v>69</v>
      </c>
      <c r="B42" s="105" t="s">
        <v>141</v>
      </c>
      <c r="C42" s="105" t="s">
        <v>164</v>
      </c>
      <c r="D42" s="105" t="s">
        <v>165</v>
      </c>
      <c r="E42" s="84"/>
      <c r="F42" s="81"/>
      <c r="G42" s="81"/>
      <c r="H42" s="81"/>
      <c r="I42" s="81"/>
      <c r="J42" s="114"/>
      <c r="K42" s="98"/>
    </row>
    <row r="43" spans="1:11" ht="13">
      <c r="A43" s="104" t="s">
        <v>69</v>
      </c>
      <c r="B43" s="105" t="s">
        <v>189</v>
      </c>
      <c r="C43" s="105"/>
      <c r="D43" s="105" t="s">
        <v>140</v>
      </c>
      <c r="E43" s="84">
        <v>0</v>
      </c>
      <c r="F43" s="81">
        <v>0</v>
      </c>
      <c r="G43" s="81">
        <v>0</v>
      </c>
      <c r="H43" s="81">
        <v>0</v>
      </c>
      <c r="I43" s="81">
        <v>0</v>
      </c>
      <c r="J43" s="114">
        <v>0</v>
      </c>
      <c r="K43" s="98"/>
    </row>
    <row r="44" spans="1:11" ht="26">
      <c r="A44" s="106"/>
      <c r="B44" s="107"/>
      <c r="C44" s="107"/>
      <c r="D44" s="108" t="s">
        <v>229</v>
      </c>
      <c r="E44" s="113">
        <f>SUM(E24:E43)</f>
        <v>134</v>
      </c>
      <c r="F44" s="113">
        <f t="shared" ref="F44:J44" si="4">SUM(F24:F43)</f>
        <v>18</v>
      </c>
      <c r="G44" s="113">
        <f t="shared" si="4"/>
        <v>14</v>
      </c>
      <c r="H44" s="113">
        <f t="shared" si="4"/>
        <v>12</v>
      </c>
      <c r="I44" s="113">
        <f t="shared" si="4"/>
        <v>6</v>
      </c>
      <c r="J44" s="113">
        <f t="shared" si="4"/>
        <v>21</v>
      </c>
      <c r="K44" s="98"/>
    </row>
    <row r="45" spans="1:11" ht="13">
      <c r="A45" s="104" t="s">
        <v>97</v>
      </c>
      <c r="B45" s="105" t="s">
        <v>98</v>
      </c>
      <c r="C45" s="105" t="s">
        <v>99</v>
      </c>
      <c r="D45" s="105" t="s">
        <v>100</v>
      </c>
      <c r="E45" s="85">
        <v>12</v>
      </c>
      <c r="F45" s="81">
        <v>1</v>
      </c>
      <c r="G45" s="81">
        <v>1</v>
      </c>
      <c r="H45" s="81">
        <v>1</v>
      </c>
      <c r="I45" s="81">
        <v>0</v>
      </c>
      <c r="J45" s="114">
        <v>0</v>
      </c>
      <c r="K45" s="98"/>
    </row>
    <row r="46" spans="1:11" ht="13">
      <c r="A46" s="104" t="s">
        <v>97</v>
      </c>
      <c r="B46" s="105" t="s">
        <v>98</v>
      </c>
      <c r="C46" s="105" t="s">
        <v>101</v>
      </c>
      <c r="D46" s="105" t="s">
        <v>100</v>
      </c>
      <c r="E46" s="85"/>
      <c r="F46" s="81"/>
      <c r="G46" s="81"/>
      <c r="H46" s="81"/>
      <c r="I46" s="81"/>
      <c r="J46" s="114"/>
      <c r="K46" s="98"/>
    </row>
    <row r="47" spans="1:11" ht="13">
      <c r="A47" s="104" t="s">
        <v>97</v>
      </c>
      <c r="B47" s="105" t="s">
        <v>98</v>
      </c>
      <c r="C47" s="105" t="s">
        <v>102</v>
      </c>
      <c r="D47" s="105" t="s">
        <v>100</v>
      </c>
      <c r="E47" s="85">
        <v>0</v>
      </c>
      <c r="F47" s="81">
        <v>0</v>
      </c>
      <c r="G47" s="81">
        <v>0</v>
      </c>
      <c r="H47" s="81">
        <v>0</v>
      </c>
      <c r="I47" s="81">
        <v>0</v>
      </c>
      <c r="J47" s="114">
        <v>0</v>
      </c>
      <c r="K47" s="98"/>
    </row>
    <row r="48" spans="1:11" ht="13">
      <c r="A48" s="104" t="s">
        <v>97</v>
      </c>
      <c r="B48" s="105" t="s">
        <v>107</v>
      </c>
      <c r="C48" s="105" t="s">
        <v>108</v>
      </c>
      <c r="D48" s="105" t="s">
        <v>109</v>
      </c>
      <c r="E48" s="85">
        <v>37</v>
      </c>
      <c r="F48" s="81">
        <v>8</v>
      </c>
      <c r="G48" s="81">
        <v>4</v>
      </c>
      <c r="H48" s="81">
        <v>4</v>
      </c>
      <c r="I48" s="81">
        <v>0</v>
      </c>
      <c r="J48" s="114">
        <v>3</v>
      </c>
      <c r="K48" s="98"/>
    </row>
    <row r="49" spans="1:11" ht="13">
      <c r="A49" s="104" t="s">
        <v>97</v>
      </c>
      <c r="B49" s="105" t="s">
        <v>131</v>
      </c>
      <c r="C49" s="105" t="s">
        <v>132</v>
      </c>
      <c r="D49" s="105" t="s">
        <v>133</v>
      </c>
      <c r="E49" s="85">
        <v>13</v>
      </c>
      <c r="F49" s="81">
        <v>0</v>
      </c>
      <c r="G49" s="81">
        <v>1</v>
      </c>
      <c r="H49" s="81">
        <v>1</v>
      </c>
      <c r="I49" s="81">
        <v>0</v>
      </c>
      <c r="J49" s="114">
        <v>1</v>
      </c>
      <c r="K49" s="98"/>
    </row>
    <row r="50" spans="1:11" ht="13">
      <c r="A50" s="104" t="s">
        <v>97</v>
      </c>
      <c r="B50" s="105" t="s">
        <v>131</v>
      </c>
      <c r="C50" s="105" t="s">
        <v>134</v>
      </c>
      <c r="D50" s="105" t="s">
        <v>135</v>
      </c>
      <c r="E50" s="85">
        <v>17</v>
      </c>
      <c r="F50" s="81">
        <v>2</v>
      </c>
      <c r="G50" s="81">
        <v>2</v>
      </c>
      <c r="H50" s="81">
        <v>1</v>
      </c>
      <c r="I50" s="81">
        <v>0</v>
      </c>
      <c r="J50" s="114">
        <v>1</v>
      </c>
      <c r="K50" s="98"/>
    </row>
    <row r="51" spans="1:11" ht="13">
      <c r="A51" s="104" t="s">
        <v>97</v>
      </c>
      <c r="B51" s="105" t="s">
        <v>131</v>
      </c>
      <c r="C51" s="105" t="s">
        <v>136</v>
      </c>
      <c r="D51" s="105" t="s">
        <v>133</v>
      </c>
      <c r="E51" s="85"/>
      <c r="F51" s="81"/>
      <c r="G51" s="81"/>
      <c r="H51" s="81"/>
      <c r="I51" s="81"/>
      <c r="J51" s="114"/>
      <c r="K51" s="98"/>
    </row>
    <row r="52" spans="1:11" ht="13">
      <c r="A52" s="104" t="s">
        <v>97</v>
      </c>
      <c r="B52" s="105" t="s">
        <v>107</v>
      </c>
      <c r="C52" s="105" t="s">
        <v>137</v>
      </c>
      <c r="D52" s="105" t="s">
        <v>133</v>
      </c>
      <c r="E52" s="85">
        <v>18</v>
      </c>
      <c r="F52" s="81">
        <v>2</v>
      </c>
      <c r="G52" s="81">
        <v>2</v>
      </c>
      <c r="H52" s="81">
        <v>1</v>
      </c>
      <c r="I52" s="81">
        <v>0</v>
      </c>
      <c r="J52" s="114">
        <v>2</v>
      </c>
      <c r="K52" s="98"/>
    </row>
    <row r="53" spans="1:11" ht="13">
      <c r="A53" s="104" t="s">
        <v>97</v>
      </c>
      <c r="B53" s="105" t="s">
        <v>178</v>
      </c>
      <c r="C53" s="105" t="s">
        <v>179</v>
      </c>
      <c r="D53" s="105" t="s">
        <v>180</v>
      </c>
      <c r="E53" s="85">
        <v>21</v>
      </c>
      <c r="F53" s="81">
        <v>4</v>
      </c>
      <c r="G53" s="81">
        <v>2</v>
      </c>
      <c r="H53" s="81">
        <v>2</v>
      </c>
      <c r="I53" s="81">
        <v>1</v>
      </c>
      <c r="J53" s="114">
        <v>3</v>
      </c>
      <c r="K53" s="98"/>
    </row>
    <row r="54" spans="1:11" ht="13">
      <c r="A54" s="104" t="s">
        <v>97</v>
      </c>
      <c r="B54" s="105" t="s">
        <v>181</v>
      </c>
      <c r="C54" s="105" t="s">
        <v>182</v>
      </c>
      <c r="D54" s="105" t="s">
        <v>180</v>
      </c>
      <c r="E54" s="85">
        <v>15</v>
      </c>
      <c r="F54" s="81">
        <v>1</v>
      </c>
      <c r="G54" s="81">
        <v>1</v>
      </c>
      <c r="H54" s="81">
        <v>1</v>
      </c>
      <c r="I54" s="81">
        <v>0</v>
      </c>
      <c r="J54" s="114">
        <v>1</v>
      </c>
      <c r="K54" s="98"/>
    </row>
    <row r="55" spans="1:11" ht="13">
      <c r="A55" s="104" t="s">
        <v>97</v>
      </c>
      <c r="B55" s="105" t="s">
        <v>178</v>
      </c>
      <c r="C55" s="105" t="s">
        <v>179</v>
      </c>
      <c r="D55" s="105" t="s">
        <v>180</v>
      </c>
      <c r="E55" s="85">
        <v>0</v>
      </c>
      <c r="F55" s="81">
        <v>0</v>
      </c>
      <c r="G55" s="81">
        <v>0</v>
      </c>
      <c r="H55" s="81">
        <v>0</v>
      </c>
      <c r="I55" s="81">
        <v>0</v>
      </c>
      <c r="J55" s="114">
        <v>0</v>
      </c>
      <c r="K55" s="98"/>
    </row>
    <row r="56" spans="1:11" ht="13">
      <c r="A56" s="104" t="s">
        <v>97</v>
      </c>
      <c r="B56" s="105" t="s">
        <v>98</v>
      </c>
      <c r="C56" s="105" t="s">
        <v>183</v>
      </c>
      <c r="D56" s="105" t="s">
        <v>184</v>
      </c>
      <c r="E56" s="85"/>
      <c r="F56" s="81"/>
      <c r="G56" s="81"/>
      <c r="H56" s="81"/>
      <c r="I56" s="81"/>
      <c r="J56" s="114"/>
      <c r="K56" s="98"/>
    </row>
    <row r="57" spans="1:11" ht="26">
      <c r="A57" s="106"/>
      <c r="B57" s="107"/>
      <c r="C57" s="107"/>
      <c r="D57" s="108" t="s">
        <v>229</v>
      </c>
      <c r="E57" s="117">
        <f>SUM(E45:E56)</f>
        <v>133</v>
      </c>
      <c r="F57" s="117">
        <f t="shared" ref="F57:J57" si="5">SUM(F45:F56)</f>
        <v>18</v>
      </c>
      <c r="G57" s="117">
        <f t="shared" si="5"/>
        <v>13</v>
      </c>
      <c r="H57" s="117">
        <f t="shared" si="5"/>
        <v>11</v>
      </c>
      <c r="I57" s="117">
        <f t="shared" si="5"/>
        <v>1</v>
      </c>
      <c r="J57" s="117">
        <f t="shared" si="5"/>
        <v>11</v>
      </c>
      <c r="K57" s="98"/>
    </row>
    <row r="58" spans="1:11" ht="13">
      <c r="A58" s="104" t="s">
        <v>110</v>
      </c>
      <c r="B58" s="105" t="s">
        <v>111</v>
      </c>
      <c r="C58" s="105" t="s">
        <v>112</v>
      </c>
      <c r="D58" s="105" t="s">
        <v>113</v>
      </c>
      <c r="E58" s="81">
        <v>0</v>
      </c>
      <c r="F58" s="81">
        <v>0</v>
      </c>
      <c r="G58" s="81">
        <v>0</v>
      </c>
      <c r="H58" s="81">
        <v>0</v>
      </c>
      <c r="I58" s="81">
        <v>0</v>
      </c>
      <c r="J58" s="114">
        <v>0</v>
      </c>
      <c r="K58" s="98"/>
    </row>
    <row r="59" spans="1:11" ht="13">
      <c r="A59" s="104" t="s">
        <v>110</v>
      </c>
      <c r="B59" s="105" t="s">
        <v>111</v>
      </c>
      <c r="C59" s="105" t="s">
        <v>124</v>
      </c>
      <c r="D59" s="105" t="s">
        <v>125</v>
      </c>
      <c r="E59" s="81">
        <v>0</v>
      </c>
      <c r="F59" s="81">
        <v>0</v>
      </c>
      <c r="G59" s="81">
        <v>0</v>
      </c>
      <c r="H59" s="81">
        <v>0</v>
      </c>
      <c r="I59" s="81">
        <v>0</v>
      </c>
      <c r="J59" s="114">
        <v>0</v>
      </c>
      <c r="K59" s="98"/>
    </row>
    <row r="60" spans="1:11" ht="13">
      <c r="A60" s="104" t="s">
        <v>110</v>
      </c>
      <c r="B60" s="105" t="s">
        <v>111</v>
      </c>
      <c r="C60" s="105" t="s">
        <v>157</v>
      </c>
      <c r="D60" s="105" t="s">
        <v>158</v>
      </c>
      <c r="E60" s="81">
        <v>10</v>
      </c>
      <c r="F60" s="81">
        <v>2</v>
      </c>
      <c r="G60" s="81">
        <v>1</v>
      </c>
      <c r="H60" s="81">
        <v>1</v>
      </c>
      <c r="I60" s="81">
        <v>0</v>
      </c>
      <c r="J60" s="114">
        <v>1</v>
      </c>
      <c r="K60" s="98"/>
    </row>
    <row r="61" spans="1:11" ht="13">
      <c r="A61" s="104" t="s">
        <v>110</v>
      </c>
      <c r="B61" s="105" t="s">
        <v>159</v>
      </c>
      <c r="C61" s="105" t="s">
        <v>160</v>
      </c>
      <c r="D61" s="105" t="s">
        <v>161</v>
      </c>
      <c r="E61" s="81">
        <v>0</v>
      </c>
      <c r="F61" s="81">
        <v>0</v>
      </c>
      <c r="G61" s="81">
        <v>0</v>
      </c>
      <c r="H61" s="81">
        <v>0</v>
      </c>
      <c r="I61" s="81">
        <v>0</v>
      </c>
      <c r="J61" s="114">
        <v>0</v>
      </c>
      <c r="K61" s="98"/>
    </row>
    <row r="62" spans="1:11" ht="13">
      <c r="A62" s="104" t="s">
        <v>110</v>
      </c>
      <c r="B62" s="105" t="s">
        <v>111</v>
      </c>
      <c r="C62" s="105" t="s">
        <v>160</v>
      </c>
      <c r="D62" s="105" t="s">
        <v>161</v>
      </c>
      <c r="E62" s="82">
        <v>0</v>
      </c>
      <c r="F62" s="82">
        <v>0</v>
      </c>
      <c r="G62" s="82">
        <v>0</v>
      </c>
      <c r="H62" s="82">
        <v>0</v>
      </c>
      <c r="I62" s="82">
        <v>0</v>
      </c>
      <c r="J62" s="115">
        <v>0</v>
      </c>
      <c r="K62" s="98"/>
    </row>
    <row r="63" spans="1:11" ht="13">
      <c r="A63" s="104" t="s">
        <v>110</v>
      </c>
      <c r="B63" s="105" t="s">
        <v>111</v>
      </c>
      <c r="C63" s="105" t="s">
        <v>162</v>
      </c>
      <c r="D63" s="105" t="s">
        <v>161</v>
      </c>
      <c r="E63" s="91">
        <v>4</v>
      </c>
      <c r="F63" s="91">
        <v>0</v>
      </c>
      <c r="G63" s="91">
        <v>1</v>
      </c>
      <c r="H63" s="91">
        <v>1</v>
      </c>
      <c r="I63" s="91">
        <v>0</v>
      </c>
      <c r="J63" s="91">
        <v>1</v>
      </c>
      <c r="K63" s="110">
        <f>SUM(E63:J63)</f>
        <v>7</v>
      </c>
    </row>
    <row r="64" spans="1:11" ht="13">
      <c r="A64" s="104" t="s">
        <v>110</v>
      </c>
      <c r="B64" s="105" t="s">
        <v>111</v>
      </c>
      <c r="C64" s="105" t="s">
        <v>163</v>
      </c>
      <c r="D64" s="105" t="s">
        <v>161</v>
      </c>
      <c r="E64" s="90">
        <v>0</v>
      </c>
      <c r="F64" s="90">
        <v>0</v>
      </c>
      <c r="G64" s="90">
        <v>0</v>
      </c>
      <c r="H64" s="90">
        <v>0</v>
      </c>
      <c r="I64" s="90">
        <v>0</v>
      </c>
      <c r="J64" s="90">
        <v>0</v>
      </c>
      <c r="K64" s="111">
        <f>SUM(E64:J64)</f>
        <v>0</v>
      </c>
    </row>
    <row r="65" spans="1:11" ht="13">
      <c r="A65" s="104" t="s">
        <v>110</v>
      </c>
      <c r="B65" s="105" t="s">
        <v>111</v>
      </c>
      <c r="C65" s="105" t="s">
        <v>172</v>
      </c>
      <c r="D65" s="105" t="s">
        <v>173</v>
      </c>
      <c r="E65" s="64">
        <v>0</v>
      </c>
      <c r="F65" s="64">
        <v>0</v>
      </c>
      <c r="G65" s="64">
        <v>0</v>
      </c>
      <c r="H65" s="64">
        <v>0</v>
      </c>
      <c r="I65" s="64">
        <v>0</v>
      </c>
      <c r="J65" s="64">
        <v>0</v>
      </c>
      <c r="K65" s="98"/>
    </row>
    <row r="66" spans="1:11" ht="26">
      <c r="A66" s="106"/>
      <c r="B66" s="107"/>
      <c r="C66" s="107"/>
      <c r="D66" s="108" t="s">
        <v>229</v>
      </c>
      <c r="E66" s="118">
        <f>SUM(E58:E65)</f>
        <v>14</v>
      </c>
      <c r="F66" s="118">
        <f t="shared" ref="F66:J66" si="6">SUM(F58:F65)</f>
        <v>2</v>
      </c>
      <c r="G66" s="118">
        <f t="shared" si="6"/>
        <v>2</v>
      </c>
      <c r="H66" s="118">
        <f t="shared" si="6"/>
        <v>2</v>
      </c>
      <c r="I66" s="118">
        <f t="shared" si="6"/>
        <v>0</v>
      </c>
      <c r="J66" s="118">
        <f t="shared" si="6"/>
        <v>2</v>
      </c>
      <c r="K66" s="98"/>
    </row>
    <row r="67" spans="1:11" ht="13">
      <c r="A67" s="104" t="s">
        <v>32</v>
      </c>
      <c r="B67" s="105" t="s">
        <v>33</v>
      </c>
      <c r="C67" s="105" t="s">
        <v>34</v>
      </c>
      <c r="D67" s="105" t="s">
        <v>35</v>
      </c>
      <c r="E67" s="92">
        <v>0</v>
      </c>
      <c r="F67" s="92">
        <v>0</v>
      </c>
      <c r="G67" s="92">
        <v>0</v>
      </c>
      <c r="H67" s="92">
        <v>0</v>
      </c>
      <c r="I67" s="92">
        <v>0</v>
      </c>
      <c r="J67" s="92">
        <v>0</v>
      </c>
      <c r="K67" s="98"/>
    </row>
    <row r="68" spans="1:11" ht="13">
      <c r="A68" s="104" t="s">
        <v>32</v>
      </c>
      <c r="B68" s="105" t="s">
        <v>33</v>
      </c>
      <c r="C68" s="105" t="s">
        <v>37</v>
      </c>
      <c r="D68" s="105" t="s">
        <v>35</v>
      </c>
      <c r="E68" s="93">
        <v>61</v>
      </c>
      <c r="F68" s="93">
        <v>5</v>
      </c>
      <c r="G68" s="93">
        <v>4</v>
      </c>
      <c r="H68" s="93">
        <v>4</v>
      </c>
      <c r="I68" s="93">
        <v>0</v>
      </c>
      <c r="J68" s="93">
        <v>4</v>
      </c>
      <c r="K68" s="98"/>
    </row>
    <row r="69" spans="1:11" ht="13">
      <c r="A69" s="104" t="s">
        <v>32</v>
      </c>
      <c r="B69" s="105" t="s">
        <v>33</v>
      </c>
      <c r="C69" s="105" t="s">
        <v>38</v>
      </c>
      <c r="D69" s="105" t="s">
        <v>35</v>
      </c>
      <c r="E69" s="119">
        <v>0</v>
      </c>
      <c r="F69" s="119">
        <v>0</v>
      </c>
      <c r="G69" s="119">
        <v>0</v>
      </c>
      <c r="H69" s="119">
        <v>0</v>
      </c>
      <c r="I69" s="119">
        <v>0</v>
      </c>
      <c r="J69" s="119">
        <v>0</v>
      </c>
      <c r="K69" s="110">
        <f>SUM(E69:J69)</f>
        <v>0</v>
      </c>
    </row>
    <row r="70" spans="1:11" ht="13">
      <c r="A70" s="104" t="s">
        <v>32</v>
      </c>
      <c r="B70" s="105" t="s">
        <v>33</v>
      </c>
      <c r="C70" s="105" t="s">
        <v>39</v>
      </c>
      <c r="D70" s="105" t="s">
        <v>35</v>
      </c>
      <c r="E70" s="120">
        <v>0</v>
      </c>
      <c r="F70" s="120">
        <v>0</v>
      </c>
      <c r="G70" s="120">
        <v>0</v>
      </c>
      <c r="H70" s="120">
        <v>0</v>
      </c>
      <c r="I70" s="120">
        <v>0</v>
      </c>
      <c r="J70" s="120">
        <v>0</v>
      </c>
      <c r="K70" s="111">
        <f>SUM(E70:J70)</f>
        <v>0</v>
      </c>
    </row>
    <row r="71" spans="1:11" ht="13">
      <c r="A71" s="104" t="s">
        <v>32</v>
      </c>
      <c r="B71" s="105" t="s">
        <v>33</v>
      </c>
      <c r="C71" s="105" t="s">
        <v>40</v>
      </c>
      <c r="D71" s="105" t="s">
        <v>35</v>
      </c>
      <c r="E71" s="86">
        <v>0</v>
      </c>
      <c r="F71" s="86">
        <v>0</v>
      </c>
      <c r="G71" s="86">
        <v>0</v>
      </c>
      <c r="H71" s="86">
        <v>0</v>
      </c>
      <c r="I71" s="86">
        <v>0</v>
      </c>
      <c r="J71" s="86">
        <v>0</v>
      </c>
      <c r="K71" s="98"/>
    </row>
    <row r="72" spans="1:11" ht="13">
      <c r="A72" s="104" t="s">
        <v>32</v>
      </c>
      <c r="B72" s="105" t="s">
        <v>33</v>
      </c>
      <c r="C72" s="105" t="s">
        <v>41</v>
      </c>
      <c r="D72" s="105" t="s">
        <v>35</v>
      </c>
      <c r="E72" s="87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98"/>
    </row>
    <row r="73" spans="1:11" ht="13">
      <c r="A73" s="104" t="s">
        <v>32</v>
      </c>
      <c r="B73" s="105" t="s">
        <v>33</v>
      </c>
      <c r="C73" s="105" t="s">
        <v>42</v>
      </c>
      <c r="D73" s="105" t="s">
        <v>35</v>
      </c>
      <c r="E73" s="87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98"/>
    </row>
    <row r="74" spans="1:11" ht="13">
      <c r="A74" s="104" t="s">
        <v>32</v>
      </c>
      <c r="B74" s="105" t="s">
        <v>43</v>
      </c>
      <c r="C74" s="105" t="s">
        <v>44</v>
      </c>
      <c r="D74" s="105" t="s">
        <v>45</v>
      </c>
      <c r="E74" s="87">
        <v>0</v>
      </c>
      <c r="F74" s="87">
        <v>0</v>
      </c>
      <c r="G74" s="87">
        <v>0</v>
      </c>
      <c r="H74" s="87">
        <v>0</v>
      </c>
      <c r="I74" s="87">
        <v>0</v>
      </c>
      <c r="J74" s="87">
        <v>4</v>
      </c>
      <c r="K74" s="98"/>
    </row>
    <row r="75" spans="1:11" ht="13">
      <c r="A75" s="104" t="s">
        <v>32</v>
      </c>
      <c r="B75" s="105" t="s">
        <v>47</v>
      </c>
      <c r="C75" s="105" t="s">
        <v>48</v>
      </c>
      <c r="D75" s="105" t="s">
        <v>49</v>
      </c>
      <c r="E75" s="87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98"/>
    </row>
    <row r="76" spans="1:11" ht="13">
      <c r="A76" s="104" t="s">
        <v>32</v>
      </c>
      <c r="B76" s="105" t="s">
        <v>51</v>
      </c>
      <c r="C76" s="105" t="s">
        <v>52</v>
      </c>
      <c r="D76" s="105" t="s">
        <v>49</v>
      </c>
      <c r="E76" s="87">
        <v>16</v>
      </c>
      <c r="F76" s="87">
        <v>0</v>
      </c>
      <c r="G76" s="87">
        <v>1</v>
      </c>
      <c r="H76" s="87">
        <v>1</v>
      </c>
      <c r="I76" s="87">
        <v>0</v>
      </c>
      <c r="J76" s="87">
        <v>2</v>
      </c>
      <c r="K76" s="98"/>
    </row>
    <row r="77" spans="1:11" ht="13">
      <c r="A77" s="104" t="s">
        <v>32</v>
      </c>
      <c r="B77" s="105" t="s">
        <v>51</v>
      </c>
      <c r="C77" s="105" t="s">
        <v>53</v>
      </c>
      <c r="D77" s="105" t="s">
        <v>49</v>
      </c>
      <c r="E77" s="87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98"/>
    </row>
    <row r="78" spans="1:11" ht="13">
      <c r="A78" s="104" t="s">
        <v>32</v>
      </c>
      <c r="B78" s="105" t="s">
        <v>51</v>
      </c>
      <c r="C78" s="105" t="s">
        <v>54</v>
      </c>
      <c r="D78" s="105" t="s">
        <v>49</v>
      </c>
      <c r="E78" s="87">
        <v>12</v>
      </c>
      <c r="F78" s="87">
        <v>0</v>
      </c>
      <c r="G78" s="87">
        <v>1</v>
      </c>
      <c r="H78" s="87">
        <v>1</v>
      </c>
      <c r="I78" s="87">
        <v>0</v>
      </c>
      <c r="J78" s="87">
        <v>0</v>
      </c>
      <c r="K78" s="98"/>
    </row>
    <row r="79" spans="1:11" ht="13">
      <c r="A79" s="104" t="s">
        <v>32</v>
      </c>
      <c r="B79" s="105" t="s">
        <v>55</v>
      </c>
      <c r="C79" s="105" t="s">
        <v>56</v>
      </c>
      <c r="D79" s="105" t="s">
        <v>49</v>
      </c>
      <c r="E79" s="121">
        <v>37</v>
      </c>
      <c r="F79" s="121">
        <v>10</v>
      </c>
      <c r="G79" s="121">
        <v>5</v>
      </c>
      <c r="H79" s="121">
        <v>7</v>
      </c>
      <c r="I79" s="121">
        <v>0</v>
      </c>
      <c r="J79" s="121">
        <v>4</v>
      </c>
      <c r="K79" s="122"/>
    </row>
    <row r="80" spans="1:11" ht="13">
      <c r="A80" s="104" t="s">
        <v>32</v>
      </c>
      <c r="B80" s="105" t="s">
        <v>57</v>
      </c>
      <c r="C80" s="105" t="s">
        <v>58</v>
      </c>
      <c r="D80" s="105" t="s">
        <v>49</v>
      </c>
      <c r="E80" s="123">
        <v>11</v>
      </c>
      <c r="F80" s="123">
        <v>2</v>
      </c>
      <c r="G80" s="123">
        <v>1</v>
      </c>
      <c r="H80" s="123">
        <v>2</v>
      </c>
      <c r="I80" s="123">
        <v>0</v>
      </c>
      <c r="J80" s="123">
        <v>0</v>
      </c>
      <c r="K80" s="124"/>
    </row>
    <row r="81" spans="1:11" ht="13">
      <c r="A81" s="104" t="s">
        <v>32</v>
      </c>
      <c r="B81" s="105" t="s">
        <v>59</v>
      </c>
      <c r="C81" s="105" t="s">
        <v>60</v>
      </c>
      <c r="D81" s="105" t="s">
        <v>49</v>
      </c>
      <c r="E81" s="88"/>
      <c r="F81" s="88"/>
      <c r="G81" s="88"/>
      <c r="H81" s="88"/>
      <c r="I81" s="88"/>
      <c r="J81" s="88"/>
      <c r="K81" s="98"/>
    </row>
    <row r="82" spans="1:11" ht="13">
      <c r="A82" s="104" t="s">
        <v>32</v>
      </c>
      <c r="B82" s="105" t="s">
        <v>61</v>
      </c>
      <c r="C82" s="105" t="s">
        <v>62</v>
      </c>
      <c r="D82" s="105" t="s">
        <v>49</v>
      </c>
      <c r="E82" s="88">
        <v>0</v>
      </c>
      <c r="F82" s="88">
        <v>0</v>
      </c>
      <c r="G82" s="88">
        <v>0</v>
      </c>
      <c r="H82" s="88">
        <v>0</v>
      </c>
      <c r="I82" s="88">
        <v>0</v>
      </c>
      <c r="J82" s="88">
        <v>0</v>
      </c>
      <c r="K82" s="98"/>
    </row>
    <row r="83" spans="1:11" ht="13">
      <c r="A83" s="104" t="s">
        <v>32</v>
      </c>
      <c r="B83" s="105" t="s">
        <v>63</v>
      </c>
      <c r="C83" s="105" t="s">
        <v>64</v>
      </c>
      <c r="D83" s="105" t="s">
        <v>65</v>
      </c>
      <c r="E83" s="88">
        <v>0</v>
      </c>
      <c r="F83" s="88">
        <v>0</v>
      </c>
      <c r="G83" s="88">
        <v>0</v>
      </c>
      <c r="H83" s="88">
        <v>0</v>
      </c>
      <c r="I83" s="88">
        <v>0</v>
      </c>
      <c r="J83" s="88">
        <v>0</v>
      </c>
      <c r="K83" s="98"/>
    </row>
    <row r="84" spans="1:11" ht="13">
      <c r="A84" s="104" t="s">
        <v>32</v>
      </c>
      <c r="B84" s="105" t="s">
        <v>66</v>
      </c>
      <c r="C84" s="105" t="s">
        <v>67</v>
      </c>
      <c r="D84" s="105" t="s">
        <v>65</v>
      </c>
      <c r="E84" s="88">
        <v>0</v>
      </c>
      <c r="F84" s="88">
        <v>0</v>
      </c>
      <c r="G84" s="88">
        <v>0</v>
      </c>
      <c r="H84" s="88">
        <v>0</v>
      </c>
      <c r="I84" s="88">
        <v>0</v>
      </c>
      <c r="J84" s="88">
        <v>0</v>
      </c>
      <c r="K84" s="98"/>
    </row>
    <row r="85" spans="1:11" ht="13">
      <c r="A85" s="104" t="s">
        <v>32</v>
      </c>
      <c r="B85" s="105" t="s">
        <v>55</v>
      </c>
      <c r="C85" s="105" t="s">
        <v>68</v>
      </c>
      <c r="D85" s="105" t="s">
        <v>65</v>
      </c>
      <c r="E85" s="88"/>
      <c r="F85" s="88"/>
      <c r="G85" s="88"/>
      <c r="H85" s="88"/>
      <c r="I85" s="88"/>
      <c r="J85" s="88"/>
      <c r="K85" s="98"/>
    </row>
    <row r="86" spans="1:11" ht="13">
      <c r="A86" s="104" t="s">
        <v>32</v>
      </c>
      <c r="B86" s="105" t="s">
        <v>75</v>
      </c>
      <c r="C86" s="105" t="s">
        <v>76</v>
      </c>
      <c r="D86" s="105" t="s">
        <v>77</v>
      </c>
      <c r="E86" s="88">
        <v>0</v>
      </c>
      <c r="F86" s="88">
        <v>0</v>
      </c>
      <c r="G86" s="88">
        <v>0</v>
      </c>
      <c r="H86" s="88">
        <v>0</v>
      </c>
      <c r="I86" s="88">
        <v>0</v>
      </c>
      <c r="J86" s="88">
        <v>0</v>
      </c>
      <c r="K86" s="98"/>
    </row>
    <row r="87" spans="1:11" ht="13">
      <c r="A87" s="104" t="s">
        <v>32</v>
      </c>
      <c r="B87" s="105" t="s">
        <v>75</v>
      </c>
      <c r="C87" s="105" t="s">
        <v>78</v>
      </c>
      <c r="D87" s="105" t="s">
        <v>77</v>
      </c>
      <c r="E87" s="88"/>
      <c r="F87" s="88"/>
      <c r="G87" s="88"/>
      <c r="H87" s="88"/>
      <c r="I87" s="88"/>
      <c r="J87" s="88"/>
      <c r="K87" s="98"/>
    </row>
    <row r="88" spans="1:11" ht="13">
      <c r="A88" s="104" t="s">
        <v>32</v>
      </c>
      <c r="B88" s="105" t="s">
        <v>126</v>
      </c>
      <c r="C88" s="105" t="s">
        <v>127</v>
      </c>
      <c r="D88" s="105" t="s">
        <v>128</v>
      </c>
      <c r="E88" s="88">
        <v>0</v>
      </c>
      <c r="F88" s="88">
        <v>0</v>
      </c>
      <c r="G88" s="88">
        <v>0</v>
      </c>
      <c r="H88" s="88">
        <v>0</v>
      </c>
      <c r="I88" s="88">
        <v>0</v>
      </c>
      <c r="J88" s="88">
        <v>0</v>
      </c>
      <c r="K88" s="98"/>
    </row>
    <row r="89" spans="1:11" ht="13">
      <c r="A89" s="104" t="s">
        <v>32</v>
      </c>
      <c r="B89" s="105" t="s">
        <v>126</v>
      </c>
      <c r="C89" s="105" t="s">
        <v>129</v>
      </c>
      <c r="D89" s="105" t="s">
        <v>128</v>
      </c>
      <c r="E89" s="88">
        <v>0</v>
      </c>
      <c r="F89" s="88">
        <v>0</v>
      </c>
      <c r="G89" s="88">
        <v>0</v>
      </c>
      <c r="H89" s="88">
        <v>0</v>
      </c>
      <c r="I89" s="88">
        <v>0</v>
      </c>
      <c r="J89" s="88">
        <v>0</v>
      </c>
      <c r="K89" s="98"/>
    </row>
    <row r="90" spans="1:11" ht="13">
      <c r="A90" s="104" t="s">
        <v>32</v>
      </c>
      <c r="B90" s="105" t="s">
        <v>126</v>
      </c>
      <c r="C90" s="105" t="s">
        <v>130</v>
      </c>
      <c r="D90" s="105" t="s">
        <v>128</v>
      </c>
      <c r="E90" s="88">
        <v>14</v>
      </c>
      <c r="F90" s="88">
        <v>2</v>
      </c>
      <c r="G90" s="88">
        <v>1</v>
      </c>
      <c r="H90" s="88">
        <v>1</v>
      </c>
      <c r="I90" s="88">
        <v>0</v>
      </c>
      <c r="J90" s="88">
        <v>1</v>
      </c>
      <c r="K90" s="98"/>
    </row>
    <row r="91" spans="1:11" ht="13">
      <c r="A91" s="104" t="s">
        <v>32</v>
      </c>
      <c r="B91" s="105" t="s">
        <v>126</v>
      </c>
      <c r="C91" s="105" t="s">
        <v>154</v>
      </c>
      <c r="D91" s="105" t="s">
        <v>155</v>
      </c>
      <c r="E91" s="88">
        <v>8</v>
      </c>
      <c r="F91" s="88">
        <v>0</v>
      </c>
      <c r="G91" s="88">
        <v>1</v>
      </c>
      <c r="H91" s="88">
        <v>1</v>
      </c>
      <c r="I91" s="88">
        <v>0</v>
      </c>
      <c r="J91" s="88">
        <v>1</v>
      </c>
      <c r="K91" s="98"/>
    </row>
    <row r="92" spans="1:11" ht="13">
      <c r="A92" s="104" t="s">
        <v>32</v>
      </c>
      <c r="B92" s="105" t="s">
        <v>126</v>
      </c>
      <c r="C92" s="105" t="s">
        <v>156</v>
      </c>
      <c r="D92" s="105" t="s">
        <v>155</v>
      </c>
      <c r="E92" s="88">
        <v>32</v>
      </c>
      <c r="F92" s="88">
        <v>8</v>
      </c>
      <c r="G92" s="88">
        <v>3</v>
      </c>
      <c r="H92" s="88">
        <v>3</v>
      </c>
      <c r="I92" s="88">
        <v>1</v>
      </c>
      <c r="J92" s="88">
        <v>5</v>
      </c>
      <c r="K92" s="98"/>
    </row>
    <row r="93" spans="1:11" ht="13">
      <c r="A93" s="104" t="s">
        <v>32</v>
      </c>
      <c r="B93" s="105" t="s">
        <v>174</v>
      </c>
      <c r="C93" s="105" t="s">
        <v>175</v>
      </c>
      <c r="D93" s="105" t="s">
        <v>176</v>
      </c>
      <c r="E93" s="88">
        <v>0</v>
      </c>
      <c r="F93" s="88">
        <v>0</v>
      </c>
      <c r="G93" s="88">
        <v>0</v>
      </c>
      <c r="H93" s="88">
        <v>0</v>
      </c>
      <c r="I93" s="88">
        <v>0</v>
      </c>
      <c r="J93" s="88">
        <v>0</v>
      </c>
      <c r="K93" s="98"/>
    </row>
    <row r="94" spans="1:11" ht="13">
      <c r="A94" s="104" t="s">
        <v>32</v>
      </c>
      <c r="B94" s="105" t="s">
        <v>174</v>
      </c>
      <c r="C94" s="105" t="s">
        <v>177</v>
      </c>
      <c r="D94" s="105" t="s">
        <v>176</v>
      </c>
      <c r="E94" s="88">
        <v>0</v>
      </c>
      <c r="F94" s="88">
        <v>0</v>
      </c>
      <c r="G94" s="88">
        <v>0</v>
      </c>
      <c r="H94" s="88">
        <v>0</v>
      </c>
      <c r="I94" s="88">
        <v>0</v>
      </c>
      <c r="J94" s="88">
        <v>0</v>
      </c>
      <c r="K94" s="98"/>
    </row>
    <row r="95" spans="1:11" ht="13">
      <c r="A95" s="104" t="s">
        <v>32</v>
      </c>
      <c r="B95" s="105" t="s">
        <v>59</v>
      </c>
      <c r="C95" s="105" t="s">
        <v>185</v>
      </c>
      <c r="D95" s="105" t="s">
        <v>186</v>
      </c>
      <c r="E95" s="125"/>
      <c r="F95" s="126"/>
      <c r="G95" s="126"/>
      <c r="H95" s="126"/>
      <c r="I95" s="126"/>
      <c r="J95" s="126"/>
      <c r="K95" s="98"/>
    </row>
    <row r="96" spans="1:11" ht="13">
      <c r="A96" s="127" t="s">
        <v>32</v>
      </c>
      <c r="B96" s="128" t="s">
        <v>187</v>
      </c>
      <c r="C96" s="128"/>
      <c r="D96" s="128" t="s">
        <v>188</v>
      </c>
      <c r="E96" s="129">
        <v>0</v>
      </c>
      <c r="F96" s="129">
        <v>0</v>
      </c>
      <c r="G96" s="129">
        <v>0</v>
      </c>
      <c r="H96" s="129">
        <v>0</v>
      </c>
      <c r="I96" s="129">
        <v>0</v>
      </c>
      <c r="J96" s="129">
        <v>0</v>
      </c>
      <c r="K96" s="130"/>
    </row>
    <row r="97" spans="1:11" ht="26">
      <c r="A97" s="131"/>
      <c r="B97" s="132"/>
      <c r="C97" s="132"/>
      <c r="D97" s="133" t="s">
        <v>229</v>
      </c>
      <c r="E97" s="134">
        <f>SUM(E67:E96)</f>
        <v>191</v>
      </c>
      <c r="F97" s="134">
        <f t="shared" ref="F97:J97" si="7">SUM(F67:F96)</f>
        <v>27</v>
      </c>
      <c r="G97" s="134">
        <f t="shared" si="7"/>
        <v>17</v>
      </c>
      <c r="H97" s="134">
        <f t="shared" si="7"/>
        <v>20</v>
      </c>
      <c r="I97" s="134">
        <f t="shared" si="7"/>
        <v>1</v>
      </c>
      <c r="J97" s="134">
        <f t="shared" si="7"/>
        <v>21</v>
      </c>
      <c r="K97" s="130"/>
    </row>
    <row r="98" spans="1:11" ht="13">
      <c r="A98" s="135"/>
      <c r="B98" s="136"/>
      <c r="C98" s="136"/>
      <c r="D98" s="137" t="s">
        <v>230</v>
      </c>
      <c r="E98" s="138">
        <f>+E11+E23+E44+E57+E66+E97</f>
        <v>655</v>
      </c>
      <c r="F98" s="138">
        <f t="shared" ref="F98:J98" si="8">+F11+F23+F44+F57+F66+F97</f>
        <v>72</v>
      </c>
      <c r="G98" s="138">
        <f t="shared" si="8"/>
        <v>62</v>
      </c>
      <c r="H98" s="138">
        <f t="shared" si="8"/>
        <v>59</v>
      </c>
      <c r="I98" s="138">
        <f t="shared" si="8"/>
        <v>11</v>
      </c>
      <c r="J98" s="138">
        <f t="shared" si="8"/>
        <v>62</v>
      </c>
      <c r="K98" s="138">
        <f>SUM(E98:J98)</f>
        <v>921</v>
      </c>
    </row>
    <row r="99" spans="1:11" ht="26">
      <c r="A99" s="135"/>
      <c r="B99" s="136"/>
      <c r="C99" s="136"/>
      <c r="D99" s="139" t="s">
        <v>231</v>
      </c>
      <c r="E99" s="140">
        <f>E98*E5</f>
        <v>9626200.6225000005</v>
      </c>
      <c r="F99" s="140">
        <f t="shared" ref="F99:J99" si="9">F98*F5</f>
        <v>4112503.9559999998</v>
      </c>
      <c r="G99" s="140">
        <f t="shared" si="9"/>
        <v>4536545.3319999995</v>
      </c>
      <c r="H99" s="140">
        <f t="shared" si="9"/>
        <v>3134636.2519999999</v>
      </c>
      <c r="I99" s="140">
        <f t="shared" si="9"/>
        <v>1842927.4655000002</v>
      </c>
      <c r="J99" s="140">
        <f t="shared" si="9"/>
        <v>3495411.2929999996</v>
      </c>
      <c r="K99" s="141">
        <f>SUM(E99:J99)</f>
        <v>26748224.921000004</v>
      </c>
    </row>
  </sheetData>
  <mergeCells count="2">
    <mergeCell ref="A2:D5"/>
    <mergeCell ref="E4:J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ENERO 2026</vt:lpstr>
      <vt:lpstr>MEDIOS TECNOLOGICOS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Martinez R</dc:creator>
  <cp:lastModifiedBy>Juan Palma</cp:lastModifiedBy>
  <dcterms:created xsi:type="dcterms:W3CDTF">2026-01-28T15:14:11Z</dcterms:created>
  <dcterms:modified xsi:type="dcterms:W3CDTF">2026-03-10T23:22:42Z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2026-01-28T15:30:53Z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e465b114-ce10-4374-8e9f-40828bf4b1ae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