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psco-my.sharepoint.com/personal/liliana_vargas_prosperidadsocial_gov_co/Documents/Conv 791FIP-2025/"/>
    </mc:Choice>
  </mc:AlternateContent>
  <xr:revisionPtr revIDLastSave="18" documentId="8_{760525A7-FFA6-D448-A9CF-5A524D7270AC}" xr6:coauthVersionLast="47" xr6:coauthVersionMax="47" xr10:uidLastSave="{3B0693B0-8C6C-46E9-BE28-B399D4E381DF}"/>
  <bookViews>
    <workbookView xWindow="-120" yWindow="-120" windowWidth="29040" windowHeight="15720" xr2:uid="{0ACA30E3-C77E-4766-A4BB-CF84AD496205}"/>
  </bookViews>
  <sheets>
    <sheet name="CONSOLIDADO" sheetId="6" r:id="rId1"/>
    <sheet name="PPTO DPS" sheetId="4" state="hidden" r:id="rId2"/>
    <sheet name="ANEXO PPTO PS" sheetId="14" r:id="rId3"/>
    <sheet name="Hoja1" sheetId="10" state="hidden" r:id="rId4"/>
  </sheets>
  <definedNames>
    <definedName name="_Hlk194485353" localSheetId="3">Hoja1!$A$18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6" i="6" l="1"/>
  <c r="G35" i="6" s="1"/>
  <c r="D23" i="6"/>
  <c r="O35" i="14"/>
  <c r="O34" i="14"/>
  <c r="N36" i="14"/>
  <c r="H36" i="6" l="1"/>
  <c r="H35" i="6" s="1"/>
  <c r="O36" i="14"/>
  <c r="P21" i="14"/>
  <c r="P20" i="14"/>
  <c r="P19" i="14"/>
  <c r="P18" i="14"/>
  <c r="O12" i="14"/>
  <c r="O11" i="14"/>
  <c r="O10" i="14"/>
  <c r="O9" i="14"/>
  <c r="N13" i="14" l="1"/>
  <c r="O13" i="14" l="1"/>
  <c r="D10" i="6" s="1"/>
  <c r="P22" i="14"/>
  <c r="D11" i="6" s="1"/>
  <c r="D20" i="6"/>
  <c r="E22" i="14" l="1"/>
  <c r="F22" i="14" s="1"/>
  <c r="E21" i="14"/>
  <c r="F21" i="14" s="1"/>
  <c r="E25" i="14"/>
  <c r="F25" i="14" s="1"/>
  <c r="E24" i="14"/>
  <c r="F24" i="14" s="1"/>
  <c r="E23" i="14"/>
  <c r="F23" i="14" s="1"/>
  <c r="G12" i="14" l="1"/>
  <c r="O22" i="14" l="1"/>
  <c r="N22" i="14"/>
  <c r="F48" i="14"/>
  <c r="E40" i="14"/>
  <c r="D47" i="14" s="1"/>
  <c r="G47" i="14" s="1"/>
  <c r="D40" i="14"/>
  <c r="D46" i="14" s="1"/>
  <c r="G46" i="14" s="1"/>
  <c r="C40" i="14"/>
  <c r="D45" i="14" s="1"/>
  <c r="G45" i="14" s="1"/>
  <c r="E21" i="6"/>
  <c r="H21" i="6" s="1"/>
  <c r="G32" i="6"/>
  <c r="G34" i="6"/>
  <c r="E20" i="6"/>
  <c r="D18" i="6"/>
  <c r="E18" i="6" s="1"/>
  <c r="F54" i="14"/>
  <c r="F55" i="14" s="1"/>
  <c r="N28" i="14"/>
  <c r="N27" i="14"/>
  <c r="E60" i="14"/>
  <c r="F60" i="14" s="1"/>
  <c r="F16" i="14"/>
  <c r="G15" i="14"/>
  <c r="F61" i="14"/>
  <c r="E19" i="6" l="1"/>
  <c r="E41" i="6" s="1"/>
  <c r="H20" i="6"/>
  <c r="H32" i="6"/>
  <c r="G31" i="6"/>
  <c r="H34" i="6"/>
  <c r="H33" i="6" s="1"/>
  <c r="G33" i="6"/>
  <c r="E17" i="6"/>
  <c r="H18" i="6"/>
  <c r="H31" i="6"/>
  <c r="E23" i="6"/>
  <c r="F62" i="14"/>
  <c r="E11" i="6"/>
  <c r="E10" i="6"/>
  <c r="H10" i="6" s="1"/>
  <c r="N29" i="14"/>
  <c r="G48" i="14"/>
  <c r="D14" i="6" s="1"/>
  <c r="E62" i="14"/>
  <c r="E22" i="6" l="1"/>
  <c r="H23" i="6"/>
  <c r="H11" i="6"/>
  <c r="E69" i="14"/>
  <c r="D12" i="6" s="1"/>
  <c r="E12" i="6" s="1"/>
  <c r="E9" i="6" s="1"/>
  <c r="F68" i="14"/>
  <c r="F67" i="14"/>
  <c r="E55" i="14"/>
  <c r="D16" i="6" s="1"/>
  <c r="G25" i="14"/>
  <c r="G24" i="14"/>
  <c r="G23" i="14"/>
  <c r="G22" i="14"/>
  <c r="G21" i="14"/>
  <c r="G14" i="14"/>
  <c r="G13" i="14"/>
  <c r="G11" i="14"/>
  <c r="G10" i="14"/>
  <c r="G9" i="14"/>
  <c r="G16" i="14" l="1"/>
  <c r="D6" i="6" s="1"/>
  <c r="G26" i="14"/>
  <c r="F69" i="14"/>
  <c r="D8" i="6" l="1"/>
  <c r="E8" i="6" s="1"/>
  <c r="H8" i="6" s="1"/>
  <c r="H7" i="6" s="1"/>
  <c r="H12" i="6"/>
  <c r="H9" i="6" s="1"/>
  <c r="G30" i="6" l="1"/>
  <c r="G29" i="6" s="1"/>
  <c r="G28" i="6" l="1"/>
  <c r="G37" i="6" s="1"/>
  <c r="H30" i="6"/>
  <c r="H29" i="6" s="1"/>
  <c r="H28" i="6" s="1"/>
  <c r="H22" i="6" l="1"/>
  <c r="E7" i="6" l="1"/>
  <c r="B4" i="10"/>
  <c r="F17" i="4"/>
  <c r="G17" i="4" s="1"/>
  <c r="J17" i="4"/>
  <c r="F27" i="4"/>
  <c r="G7" i="4"/>
  <c r="G6" i="4" s="1"/>
  <c r="G8" i="4"/>
  <c r="G9" i="4"/>
  <c r="G10" i="4"/>
  <c r="G11" i="4"/>
  <c r="G12" i="4"/>
  <c r="G13" i="4"/>
  <c r="G21" i="4"/>
  <c r="G20" i="4" s="1"/>
  <c r="G22" i="4"/>
  <c r="G23" i="4"/>
  <c r="G27" i="4"/>
  <c r="G26" i="4" s="1"/>
  <c r="G29" i="4"/>
  <c r="G28" i="4" s="1"/>
  <c r="G31" i="4"/>
  <c r="G30" i="4" s="1"/>
  <c r="C26" i="6" l="1"/>
  <c r="E16" i="6"/>
  <c r="C14" i="6"/>
  <c r="E14" i="6" s="1"/>
  <c r="C6" i="6"/>
  <c r="E6" i="6" s="1"/>
  <c r="F18" i="4"/>
  <c r="G18" i="4" s="1"/>
  <c r="E13" i="6" l="1"/>
  <c r="H14" i="6"/>
  <c r="H13" i="6" s="1"/>
  <c r="E15" i="6"/>
  <c r="H16" i="6"/>
  <c r="H15" i="6" s="1"/>
  <c r="E5" i="6"/>
  <c r="H6" i="6"/>
  <c r="H5" i="6" s="1"/>
  <c r="H17" i="6"/>
  <c r="B2" i="10"/>
  <c r="F25" i="4"/>
  <c r="G25" i="4" s="1"/>
  <c r="G24" i="4" s="1"/>
  <c r="F19" i="4"/>
  <c r="G19" i="4" s="1"/>
  <c r="G16" i="4" s="1"/>
  <c r="E24" i="6" l="1"/>
  <c r="H19" i="6"/>
  <c r="H24" i="6" s="1"/>
  <c r="B5" i="10"/>
  <c r="D26" i="6" l="1"/>
  <c r="E26" i="6" s="1"/>
  <c r="H26" i="6" s="1"/>
  <c r="B6" i="10"/>
  <c r="E25" i="6" l="1"/>
  <c r="B3" i="10"/>
  <c r="B7" i="10"/>
  <c r="H25" i="6" l="1"/>
  <c r="H27" i="6" s="1"/>
  <c r="E27" i="6"/>
  <c r="E37" i="6" s="1"/>
  <c r="H37" i="6" s="1"/>
  <c r="B1" i="10"/>
  <c r="F15" i="4"/>
  <c r="G15" i="4" s="1"/>
  <c r="G14" i="4" s="1"/>
  <c r="G32" i="4" s="1"/>
  <c r="F34" i="4" s="1"/>
  <c r="G34" i="4" s="1"/>
  <c r="G33" i="4" s="1"/>
  <c r="G35" i="4" s="1"/>
  <c r="E42" i="6" l="1"/>
  <c r="E40" i="6"/>
  <c r="E47" i="6"/>
  <c r="E46" i="6"/>
  <c r="E48" i="6"/>
  <c r="B8" i="10"/>
  <c r="B9" i="10" s="1"/>
  <c r="B11" i="10" s="1"/>
  <c r="E49" i="6" l="1"/>
</calcChain>
</file>

<file path=xl/sharedStrings.xml><?xml version="1.0" encoding="utf-8"?>
<sst xmlns="http://schemas.openxmlformats.org/spreadsheetml/2006/main" count="316" uniqueCount="170">
  <si>
    <t xml:space="preserve">PRESUPUESTO INTERVENCIÓN ASIQUIMBO </t>
  </si>
  <si>
    <t>Participantes</t>
  </si>
  <si>
    <t>Descripción</t>
  </si>
  <si>
    <t>Unidad de medida</t>
  </si>
  <si>
    <t>Cantidad</t>
  </si>
  <si>
    <t>Valor Unitario DPS</t>
  </si>
  <si>
    <t>Total DPS</t>
  </si>
  <si>
    <t>Valor Unitario Contrapartida</t>
  </si>
  <si>
    <t>Total Contrapartida</t>
  </si>
  <si>
    <t>TOTAL CONVENIO</t>
  </si>
  <si>
    <t xml:space="preserve">1.1  Bolsa Talento Humano </t>
  </si>
  <si>
    <t>Global</t>
  </si>
  <si>
    <t>2. TRANSFERENCIA METODOLOGICA</t>
  </si>
  <si>
    <t xml:space="preserve">2.1 Transferencia metodológica </t>
  </si>
  <si>
    <t xml:space="preserve">3.1 Bolsa transporte para participantes encuentros y visitas </t>
  </si>
  <si>
    <t>3.2 Bolsa alimentación para participantes encuentros y visitas (refrigerios y almuerzos)</t>
  </si>
  <si>
    <t xml:space="preserve">3.3 Bolsa materiales para talleres (Libreta de apuntes y esfero) </t>
  </si>
  <si>
    <t>Unidad</t>
  </si>
  <si>
    <t>4.1 Bolsa de transporte para Equipo Técnico</t>
  </si>
  <si>
    <t xml:space="preserve">5. GESTION DOCUMENTAL </t>
  </si>
  <si>
    <t>5.1 Impresiones de formatos, Carpetas y cajas para conservación de archivo, Envíos de correspondencia, traslado final de archivo y papelería varios</t>
  </si>
  <si>
    <t xml:space="preserve">7. CAPITALIZACIÓN INVERSIÓN DIRECTA </t>
  </si>
  <si>
    <t>7.1 Capitalización de unidades productivas</t>
  </si>
  <si>
    <t xml:space="preserve">7.2 Transporte capitalización </t>
  </si>
  <si>
    <t>8.1 Bolsa evento de cierre para participantes (transporte ida y vueltas y refrigerios)</t>
  </si>
  <si>
    <t>SUBTOTAL DE LA INTERVENCION</t>
  </si>
  <si>
    <t xml:space="preserve">9. GASTOS ADMINISTRATIVOS </t>
  </si>
  <si>
    <t>9.1 Gastos Administrativos (Sobre El subtotal de los aportes de PS)</t>
  </si>
  <si>
    <t>TOTAL PROSPERIDAD SOCIAL</t>
  </si>
  <si>
    <t>10. CONTRAPARTIDA</t>
  </si>
  <si>
    <t>10.1 Talento Humano</t>
  </si>
  <si>
    <t>Profesional Jurídico</t>
  </si>
  <si>
    <t>Uso de sedes comunitarias, oficinas y espacios de reunión para actividades organizativas y formativas</t>
  </si>
  <si>
    <t>10.3 Comunicaciones y Logística Operativa</t>
  </si>
  <si>
    <t>Llamadas, datos, internet, diseños de piezas informativas, megafonía comunitaria, y difusión territorial para convocatorias.</t>
  </si>
  <si>
    <t>valor por persona</t>
  </si>
  <si>
    <t xml:space="preserve">valor inversión </t>
  </si>
  <si>
    <t>valor operación</t>
  </si>
  <si>
    <t>Porcentaje</t>
  </si>
  <si>
    <t>Desembolsos</t>
  </si>
  <si>
    <t>PTO ASIGN</t>
  </si>
  <si>
    <t>PRESUPUESTO INTERVENCIÓN NASA KIWE</t>
  </si>
  <si>
    <t>Unidad de tiempo</t>
  </si>
  <si>
    <t>Cantidad de tiempo</t>
  </si>
  <si>
    <t>Valor Unitario</t>
  </si>
  <si>
    <t>1. Talento Humano</t>
  </si>
  <si>
    <t>1.1 Coordinador General de proyecto</t>
  </si>
  <si>
    <t>Persona</t>
  </si>
  <si>
    <t>Meses</t>
  </si>
  <si>
    <t>1.2 Profesional Administrativo y Financiero</t>
  </si>
  <si>
    <t xml:space="preserve">1.3 Profesional conexión a mercados </t>
  </si>
  <si>
    <t>1.4 Profesional - Tallerista</t>
  </si>
  <si>
    <t>1.5 Profesional de asistencia tecnica</t>
  </si>
  <si>
    <t>1.6 Gestor de Proyecto Productivo</t>
  </si>
  <si>
    <t>1.7 Apoyo gestión documental</t>
  </si>
  <si>
    <t>2.1 Transferencia metodológica</t>
  </si>
  <si>
    <t>3. Encuentros</t>
  </si>
  <si>
    <t>3.1 Bolsa de materiales para el desarrollo de talleres</t>
  </si>
  <si>
    <t>N/A</t>
  </si>
  <si>
    <t>3.2 Bolsa de alimentación para los encuentros (Refrigerio - almuerzo)</t>
  </si>
  <si>
    <t>3.3 Bolsa de transporte para participantes en los encuentros (ida y vuelta)</t>
  </si>
  <si>
    <t>4. Evento de cierre</t>
  </si>
  <si>
    <t>4.1 Alquiler de salón, video bean y sillas evento final</t>
  </si>
  <si>
    <t>4.2 Transporte de participantes evento final (ida y vuelta)</t>
  </si>
  <si>
    <t>4.3 Almuerzos evento final (olla comunitaria)</t>
  </si>
  <si>
    <t>5. Gastos de viajes y desplazamientos</t>
  </si>
  <si>
    <t>5.1  Bolsa para gastos de viaje y transportes (Gestores y Talleristas)</t>
  </si>
  <si>
    <t>6. Gestión documental</t>
  </si>
  <si>
    <t>6.1 Impresiones de formatos, Carpetas y cajas para conservación de archivo, Envíos de correspondencia, traslado final de archivo y papeleria varios</t>
  </si>
  <si>
    <t>7. Kit de Gestor</t>
  </si>
  <si>
    <t>7.1 Kit del Gestor -  Chaleco -cachucha</t>
  </si>
  <si>
    <t>8. Inversión Directa</t>
  </si>
  <si>
    <t>8.1 Capitalización de unidades productivas</t>
  </si>
  <si>
    <t xml:space="preserve">Unidad </t>
  </si>
  <si>
    <t>Gastos de Administración</t>
  </si>
  <si>
    <t>Gastos de Administración (Sobre El subtotal de los aportes de PS)</t>
  </si>
  <si>
    <t xml:space="preserve">TALENTO HUMANO </t>
  </si>
  <si>
    <t>Bolsa de Transporte Para Participantes Encuentros y Visitas</t>
  </si>
  <si>
    <t xml:space="preserve">Meses </t>
  </si>
  <si>
    <t>Valor Total</t>
  </si>
  <si>
    <t xml:space="preserve">Transporte Ida y Vueltas 1 encuentro </t>
  </si>
  <si>
    <t>1.2 Profesional Financiero</t>
  </si>
  <si>
    <t xml:space="preserve">Transporte Ida y Vueltas 2 encuentro </t>
  </si>
  <si>
    <t>1.3 Apoyo de gestión documental</t>
  </si>
  <si>
    <t>Transporte Ida y Vueltas Visita 1 y 2</t>
  </si>
  <si>
    <t>1.4 Gestor de Proyecto Productivo</t>
  </si>
  <si>
    <t xml:space="preserve">Transporte Ida y Vueltas 3 encuentro </t>
  </si>
  <si>
    <t>1.5 Asistencia técnica</t>
  </si>
  <si>
    <t>TOTAL</t>
  </si>
  <si>
    <t xml:space="preserve">1.6 Tallerista </t>
  </si>
  <si>
    <t xml:space="preserve">TOTAL </t>
  </si>
  <si>
    <t>Bolsa de Alimentación Para Participantes Encuentros y Visitas (Refrigerio - almuerzo)</t>
  </si>
  <si>
    <t xml:space="preserve">Cantidad </t>
  </si>
  <si>
    <t xml:space="preserve"> Valor refrigerios</t>
  </si>
  <si>
    <t>Valor almuerzos</t>
  </si>
  <si>
    <t xml:space="preserve">Primer Encuentro </t>
  </si>
  <si>
    <t>TRANSFERENCIA METODOLOGICA</t>
  </si>
  <si>
    <t xml:space="preserve">Segundo Encuentro </t>
  </si>
  <si>
    <t>Transferencia metodológica</t>
  </si>
  <si>
    <t>Vlr unitario antes de IVA</t>
  </si>
  <si>
    <t>IVA (si aplica) 19%</t>
  </si>
  <si>
    <t>valor total</t>
  </si>
  <si>
    <t>Visitas 1 y 2</t>
  </si>
  <si>
    <t>Refrigerio (Snack pasaboca     100 gr hacen referencia, a productos de panadería o derivados de cereales como el maíz, el arroz, trigo, como por ejemplo pan de yuca, pan de queso, ponqué, palitos de queso, cucas, arepas, empanadas, etc.; bebida jugo Tetrapak 200 ml, fruta natural temporada, Empaque bolsa papel servilleta)</t>
  </si>
  <si>
    <t xml:space="preserve">Tercer Encuentro </t>
  </si>
  <si>
    <t>Almuerzo (Carnes. * 150 gr, Cereales, tubérculos, raíces, plátanos y derivados. **150 gr, Verdura 100 gr, Jugo de fruta natural 200 ml y Fruta entera de temporada 180 gr)</t>
  </si>
  <si>
    <t>Estación de café para 25 personas (disponible para toda la jornada).</t>
  </si>
  <si>
    <t>libreta tamaño media carta</t>
  </si>
  <si>
    <t>Esfero</t>
  </si>
  <si>
    <t>* Las Carnes hacen referencia a la carne de res, pollo, pescado o cerdo. No se podrá brindar huevos, embutidos (salchichas, jamón, mortadela), enlatados, ni carne proveniente  de  animales que  estén catalogadas como fauna protegida o se encuentre en peligro de extinción.</t>
  </si>
  <si>
    <t xml:space="preserve">Chaleco </t>
  </si>
  <si>
    <t>** Se deberá suministrar dos porciones de alimentos diferentes del grupo de cereales, tubérculos, raíces, plátanos y derivados; por ejemplo, un cereal como arroz y un tubérculo como papa.</t>
  </si>
  <si>
    <t>Gorra</t>
  </si>
  <si>
    <t xml:space="preserve">Detalle participación equipo técnico encuentros y/o visitas </t>
  </si>
  <si>
    <t>Bolsa Evento de Cierre para Participantes</t>
  </si>
  <si>
    <t>Talleristas</t>
  </si>
  <si>
    <t>Asistencia técnica</t>
  </si>
  <si>
    <t>Gestores</t>
  </si>
  <si>
    <t xml:space="preserve">Visitas 1 </t>
  </si>
  <si>
    <t>Visitas 2</t>
  </si>
  <si>
    <t>Visitas Mensuales</t>
  </si>
  <si>
    <t>Evento de cierre</t>
  </si>
  <si>
    <t>Bolsa para gastos de transportes  (Equipo Técnico)</t>
  </si>
  <si>
    <t>Cantidad de visitas/actividades</t>
  </si>
  <si>
    <t>Personas</t>
  </si>
  <si>
    <t>Profesional - Tallerista</t>
  </si>
  <si>
    <t>Gestor de Proyecto Productivo</t>
  </si>
  <si>
    <t>BOLSA DE GESTION DOCUMENTAL</t>
  </si>
  <si>
    <t>valor unitario</t>
  </si>
  <si>
    <t>Impresiones de formatos, Carpetas y cajas para conservación de archivo, Envíos de correspondencia, traslado final de archivo y papelería varios</t>
  </si>
  <si>
    <t xml:space="preserve">Capitalización Inversión Directa </t>
  </si>
  <si>
    <t>Capitalización de Unidades Productivas</t>
  </si>
  <si>
    <t xml:space="preserve">Transporte capitalización </t>
  </si>
  <si>
    <t>BOLSA DE MATERIALES PARA TALLER</t>
  </si>
  <si>
    <t>LIBRETA DE APUNTES</t>
  </si>
  <si>
    <t>ESFERO</t>
  </si>
  <si>
    <t>ALISTAMIENTO</t>
  </si>
  <si>
    <t>FORMACION</t>
  </si>
  <si>
    <t>CAPITALIZACION</t>
  </si>
  <si>
    <t>CIERRE</t>
  </si>
  <si>
    <t>GESTION DOCUMENTAL</t>
  </si>
  <si>
    <t>TALENTO HUMANO</t>
  </si>
  <si>
    <t>KIT DEL GESTOR</t>
  </si>
  <si>
    <t>GASTOS ADMINISTRATIVOS</t>
  </si>
  <si>
    <t>CONTRATACIÓN DE TALENTO HUMANO</t>
  </si>
  <si>
    <t>CANTIDAD</t>
  </si>
  <si>
    <t xml:space="preserve">Coordinador General del Proyecto </t>
  </si>
  <si>
    <t>Profesional Financiero</t>
  </si>
  <si>
    <t>Profesional de conexión a mercados</t>
  </si>
  <si>
    <t xml:space="preserve">Profesional – Tallerista </t>
  </si>
  <si>
    <t>Profesional de Asistencia Técnica</t>
  </si>
  <si>
    <t xml:space="preserve">Gestor de Proyecto Productivo </t>
  </si>
  <si>
    <t xml:space="preserve">Apoyo gestión documental </t>
  </si>
  <si>
    <t>KIT DEL GESTOR, ASISTENCIA TECNICA Y TALLERISTA</t>
  </si>
  <si>
    <t>6. KIT DEL GESTOR, ASISTENCIA TECNICA Y TALLERISTA</t>
  </si>
  <si>
    <t>8. BOLSA EVENTO DE CIERRE</t>
  </si>
  <si>
    <t>4. BOLSA GASTOS DE VIAJE Y DESPLAZAMIENTO</t>
  </si>
  <si>
    <t xml:space="preserve">3. BOLSA ENCUENTROS Y VISITAS </t>
  </si>
  <si>
    <t xml:space="preserve">1. BOLSA TALENTO HUMANO </t>
  </si>
  <si>
    <t xml:space="preserve">6.1 Kit del Gestor, Asistencia Técnica y Tallerista (Chaleco y Gorra) </t>
  </si>
  <si>
    <t xml:space="preserve">N° Unidades Productivas </t>
  </si>
  <si>
    <t>N° Personas por Unidad Productiva **</t>
  </si>
  <si>
    <t>N° Personas por Unidad Productiva**</t>
  </si>
  <si>
    <r>
      <rPr>
        <b/>
        <sz val="11"/>
        <color theme="1"/>
        <rFont val="Calibri"/>
        <family val="2"/>
        <scheme val="minor"/>
      </rPr>
      <t>Nota: **</t>
    </r>
    <r>
      <rPr>
        <sz val="11"/>
        <color theme="1"/>
        <rFont val="Calibri"/>
        <family val="2"/>
        <scheme val="minor"/>
      </rPr>
      <t xml:space="preserve"> De acuerdo con lo indicado por Asoquimo, la intervención se realizará en 160 unidades productivas que, en conjunto, suman 324 personas. Cada unidad productiva está conformada por 2, máximo 3 personas. En consecuencia, en el primer y segundo encuentro se atenderán las 324 personas; y para las visitas 1 y 2, así como para el tercer encuentro, asistirá únicamente un representante por unidad productiva (160 asistentes).</t>
    </r>
  </si>
  <si>
    <t>10.2 Salones de Reuniones</t>
  </si>
  <si>
    <t xml:space="preserve">Transporte evento de cierre </t>
  </si>
  <si>
    <t xml:space="preserve">Refrigerio evento de cierre </t>
  </si>
  <si>
    <t>10.4 Otros gastos de administración de la Asociación</t>
  </si>
  <si>
    <t>Otros gastos de administración de la Asociación</t>
  </si>
  <si>
    <t xml:space="preserve">1.7 Apoyo logístico encuentros y capitalización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</si>
</sst>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.00"/>
    <numFmt numFmtId="165" formatCode="_([$$-240A]\ * #,##0.00_);_([$$-240A]\ * \(#,##0.00\);_([$$-240A]\ * &quot;-&quot;??_);_(@_)"/>
    <numFmt numFmtId="166" formatCode="_-* #,##0_-;\-* #,##0_-;_-* &quot;-&quot;??_-;_-@_-"/>
    <numFmt numFmtId="167" formatCode="[$$-240A]\ #,##0"/>
    <numFmt numFmtId="168" formatCode="_-&quot;$&quot;\ * #,##0_-;\-&quot;$&quot;\ * #,##0_-;_-&quot;$&quot;\ * &quot;-&quot;??_-;_-@_-"/>
    <numFmt numFmtId="169" formatCode="[$$-240A]\ #,##0;\-[$$-240A]\ #,##0"/>
    <numFmt numFmtId="170" formatCode="&quot;$&quot;\ #,##0.00"/>
    <numFmt numFmtId="171" formatCode="&quot;$&quot;\ #,##0.0"/>
    <numFmt numFmtId="172" formatCode="&quot;$&quot;\ #,##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ova"/>
      <family val="2"/>
    </font>
    <font>
      <b/>
      <sz val="11"/>
      <color rgb="FFFFFFFF"/>
      <name val="Arial Nova"/>
      <family val="2"/>
    </font>
    <font>
      <b/>
      <sz val="11"/>
      <name val="Arial Nova"/>
      <family val="2"/>
    </font>
    <font>
      <sz val="11"/>
      <name val="Arial Nova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Arial Nova"/>
      <family val="2"/>
    </font>
    <font>
      <b/>
      <sz val="11"/>
      <color theme="1"/>
      <name val="Arial Nova"/>
      <family val="2"/>
    </font>
    <font>
      <b/>
      <sz val="11"/>
      <color theme="1"/>
      <name val="Calibri"/>
      <family val="2"/>
      <scheme val="minor"/>
    </font>
    <font>
      <sz val="10"/>
      <name val="Arial Nova"/>
      <family val="2"/>
    </font>
    <font>
      <sz val="10"/>
      <color theme="1"/>
      <name val="Arial Nov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theme="1"/>
      <name val="Verdana"/>
      <family val="2"/>
    </font>
    <font>
      <u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theme="1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color rgb="FFFFFFFF"/>
      <name val="Verdana"/>
      <family val="2"/>
    </font>
    <font>
      <b/>
      <sz val="10"/>
      <name val="Verdana"/>
      <family val="2"/>
    </font>
    <font>
      <sz val="10"/>
      <color rgb="FFFF0000"/>
      <name val="Verdana"/>
      <family val="2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70C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rgb="FFC0E6F5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thin">
        <color rgb="FF4472C4"/>
      </left>
      <right style="thin">
        <color rgb="FF4472C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/>
      <diagonal/>
    </border>
    <border>
      <left style="thin">
        <color theme="4"/>
      </left>
      <right style="medium">
        <color indexed="64"/>
      </right>
      <top/>
      <bottom style="thin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theme="4"/>
      </top>
      <bottom style="thin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" fillId="0" borderId="0"/>
    <xf numFmtId="41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9">
    <xf numFmtId="0" fontId="0" fillId="0" borderId="0" xfId="0"/>
    <xf numFmtId="0" fontId="2" fillId="0" borderId="0" xfId="5" applyFont="1" applyAlignment="1">
      <alignment vertical="center" wrapText="1"/>
    </xf>
    <xf numFmtId="49" fontId="4" fillId="3" borderId="1" xfId="5" applyNumberFormat="1" applyFont="1" applyFill="1" applyBorder="1" applyAlignment="1">
      <alignment horizontal="center" vertical="center" wrapText="1"/>
    </xf>
    <xf numFmtId="0" fontId="7" fillId="5" borderId="4" xfId="5" applyFont="1" applyFill="1" applyBorder="1" applyAlignment="1">
      <alignment vertical="center" wrapText="1"/>
    </xf>
    <xf numFmtId="0" fontId="3" fillId="2" borderId="11" xfId="5" applyFont="1" applyFill="1" applyBorder="1" applyAlignment="1">
      <alignment horizontal="center" vertical="center" wrapText="1"/>
    </xf>
    <xf numFmtId="43" fontId="8" fillId="0" borderId="0" xfId="4" applyFont="1" applyBorder="1" applyAlignment="1">
      <alignment horizontal="left" vertical="center" wrapText="1"/>
    </xf>
    <xf numFmtId="166" fontId="8" fillId="0" borderId="0" xfId="4" applyNumberFormat="1" applyFont="1" applyBorder="1" applyAlignment="1">
      <alignment horizontal="center" vertical="center" wrapText="1"/>
    </xf>
    <xf numFmtId="0" fontId="5" fillId="0" borderId="0" xfId="5" applyFont="1" applyAlignment="1">
      <alignment vertical="center" wrapText="1"/>
    </xf>
    <xf numFmtId="0" fontId="2" fillId="0" borderId="0" xfId="5" applyFont="1" applyAlignment="1">
      <alignment horizontal="center" vertical="center" wrapText="1"/>
    </xf>
    <xf numFmtId="44" fontId="2" fillId="0" borderId="0" xfId="2" applyFont="1" applyAlignment="1">
      <alignment vertical="center" wrapText="1"/>
    </xf>
    <xf numFmtId="165" fontId="5" fillId="0" borderId="1" xfId="6" applyFont="1" applyBorder="1" applyAlignment="1">
      <alignment horizontal="center" vertical="center"/>
    </xf>
    <xf numFmtId="43" fontId="8" fillId="0" borderId="0" xfId="4" applyFont="1" applyBorder="1" applyAlignment="1">
      <alignment horizontal="center" vertical="center" wrapText="1"/>
    </xf>
    <xf numFmtId="44" fontId="8" fillId="0" borderId="0" xfId="2" applyFont="1" applyBorder="1" applyAlignment="1">
      <alignment horizontal="center" vertical="center" wrapText="1"/>
    </xf>
    <xf numFmtId="0" fontId="3" fillId="2" borderId="8" xfId="5" applyFont="1" applyFill="1" applyBorder="1" applyAlignment="1">
      <alignment horizontal="center" vertical="center" wrapText="1"/>
    </xf>
    <xf numFmtId="167" fontId="5" fillId="0" borderId="1" xfId="6" applyNumberFormat="1" applyFont="1" applyBorder="1" applyAlignment="1">
      <alignment horizontal="right" vertical="center"/>
    </xf>
    <xf numFmtId="167" fontId="5" fillId="0" borderId="14" xfId="6" applyNumberFormat="1" applyFont="1" applyBorder="1" applyAlignment="1">
      <alignment horizontal="right" vertical="center"/>
    </xf>
    <xf numFmtId="168" fontId="0" fillId="0" borderId="0" xfId="2" applyNumberFormat="1" applyFont="1" applyAlignment="1">
      <alignment horizontal="center" vertical="center"/>
    </xf>
    <xf numFmtId="0" fontId="11" fillId="0" borderId="0" xfId="0" applyFont="1"/>
    <xf numFmtId="165" fontId="10" fillId="0" borderId="1" xfId="6" applyFont="1" applyBorder="1" applyAlignment="1">
      <alignment horizontal="center" vertical="center" wrapText="1"/>
    </xf>
    <xf numFmtId="0" fontId="11" fillId="0" borderId="0" xfId="5" applyFont="1" applyAlignment="1">
      <alignment vertical="center" wrapText="1"/>
    </xf>
    <xf numFmtId="168" fontId="0" fillId="0" borderId="0" xfId="2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6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4" fontId="0" fillId="0" borderId="0" xfId="2" applyFont="1"/>
    <xf numFmtId="6" fontId="0" fillId="0" borderId="0" xfId="2" applyNumberFormat="1" applyFont="1"/>
    <xf numFmtId="0" fontId="15" fillId="11" borderId="24" xfId="0" applyFont="1" applyFill="1" applyBorder="1" applyAlignment="1">
      <alignment horizontal="center" vertical="center"/>
    </xf>
    <xf numFmtId="0" fontId="15" fillId="11" borderId="23" xfId="0" applyFont="1" applyFill="1" applyBorder="1" applyAlignment="1">
      <alignment horizontal="center" vertical="center"/>
    </xf>
    <xf numFmtId="0" fontId="16" fillId="0" borderId="26" xfId="0" applyFont="1" applyBorder="1" applyAlignment="1">
      <alignment vertical="center"/>
    </xf>
    <xf numFmtId="0" fontId="16" fillId="0" borderId="27" xfId="0" applyFont="1" applyBorder="1" applyAlignment="1">
      <alignment horizontal="center" vertical="center"/>
    </xf>
    <xf numFmtId="0" fontId="3" fillId="2" borderId="4" xfId="5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3" borderId="9" xfId="5" applyFont="1" applyFill="1" applyBorder="1" applyAlignment="1">
      <alignment vertical="center" wrapText="1"/>
    </xf>
    <xf numFmtId="0" fontId="4" fillId="4" borderId="10" xfId="5" applyFont="1" applyFill="1" applyBorder="1" applyAlignment="1">
      <alignment horizontal="center" vertical="center" wrapText="1"/>
    </xf>
    <xf numFmtId="0" fontId="4" fillId="3" borderId="10" xfId="5" applyFont="1" applyFill="1" applyBorder="1" applyAlignment="1">
      <alignment horizontal="center" vertical="center" wrapText="1"/>
    </xf>
    <xf numFmtId="167" fontId="4" fillId="3" borderId="10" xfId="5" applyNumberFormat="1" applyFont="1" applyFill="1" applyBorder="1" applyAlignment="1">
      <alignment horizontal="right" vertical="center" wrapText="1"/>
    </xf>
    <xf numFmtId="167" fontId="4" fillId="3" borderId="17" xfId="2" applyNumberFormat="1" applyFont="1" applyFill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165" fontId="5" fillId="0" borderId="1" xfId="6" applyFont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7" applyNumberFormat="1" applyFont="1" applyBorder="1" applyAlignment="1">
      <alignment horizontal="center" vertical="center" wrapText="1"/>
    </xf>
    <xf numFmtId="167" fontId="2" fillId="0" borderId="1" xfId="6" applyNumberFormat="1" applyFont="1" applyBorder="1" applyAlignment="1">
      <alignment horizontal="right" vertical="center" wrapText="1"/>
    </xf>
    <xf numFmtId="167" fontId="2" fillId="0" borderId="14" xfId="6" applyNumberFormat="1" applyFont="1" applyBorder="1" applyAlignment="1">
      <alignment horizontal="right" vertical="center" wrapText="1"/>
    </xf>
    <xf numFmtId="0" fontId="10" fillId="0" borderId="3" xfId="5" applyFont="1" applyBorder="1" applyAlignment="1">
      <alignment vertical="center" wrapText="1"/>
    </xf>
    <xf numFmtId="0" fontId="10" fillId="0" borderId="1" xfId="7" applyNumberFormat="1" applyFont="1" applyBorder="1" applyAlignment="1">
      <alignment horizontal="center" vertical="center" wrapText="1"/>
    </xf>
    <xf numFmtId="49" fontId="10" fillId="0" borderId="1" xfId="7" applyNumberFormat="1" applyFont="1" applyBorder="1" applyAlignment="1">
      <alignment horizontal="center" vertical="center" wrapText="1"/>
    </xf>
    <xf numFmtId="0" fontId="4" fillId="3" borderId="3" xfId="5" applyFont="1" applyFill="1" applyBorder="1" applyAlignment="1">
      <alignment vertical="center" wrapText="1"/>
    </xf>
    <xf numFmtId="0" fontId="4" fillId="3" borderId="1" xfId="5" applyFont="1" applyFill="1" applyBorder="1" applyAlignment="1">
      <alignment horizontal="center" vertical="center" wrapText="1"/>
    </xf>
    <xf numFmtId="167" fontId="4" fillId="3" borderId="1" xfId="5" applyNumberFormat="1" applyFont="1" applyFill="1" applyBorder="1" applyAlignment="1">
      <alignment horizontal="right" vertical="center" wrapText="1"/>
    </xf>
    <xf numFmtId="167" fontId="4" fillId="3" borderId="14" xfId="6" applyNumberFormat="1" applyFont="1" applyFill="1" applyBorder="1" applyAlignment="1">
      <alignment horizontal="right" vertical="center"/>
    </xf>
    <xf numFmtId="49" fontId="5" fillId="0" borderId="1" xfId="7" applyNumberFormat="1" applyFont="1" applyBorder="1" applyAlignment="1">
      <alignment horizontal="center" vertical="center"/>
    </xf>
    <xf numFmtId="0" fontId="5" fillId="0" borderId="1" xfId="7" applyNumberFormat="1" applyFont="1" applyBorder="1" applyAlignment="1">
      <alignment horizontal="center" vertical="center"/>
    </xf>
    <xf numFmtId="0" fontId="7" fillId="3" borderId="3" xfId="5" applyFont="1" applyFill="1" applyBorder="1" applyAlignment="1">
      <alignment vertical="center" wrapText="1"/>
    </xf>
    <xf numFmtId="0" fontId="7" fillId="3" borderId="1" xfId="5" applyFont="1" applyFill="1" applyBorder="1" applyAlignment="1">
      <alignment horizontal="center" vertical="center" wrapText="1"/>
    </xf>
    <xf numFmtId="49" fontId="7" fillId="3" borderId="1" xfId="5" applyNumberFormat="1" applyFont="1" applyFill="1" applyBorder="1" applyAlignment="1">
      <alignment horizontal="center" vertical="center" wrapText="1"/>
    </xf>
    <xf numFmtId="167" fontId="7" fillId="3" borderId="1" xfId="5" applyNumberFormat="1" applyFont="1" applyFill="1" applyBorder="1" applyAlignment="1">
      <alignment horizontal="right" vertical="center" wrapText="1"/>
    </xf>
    <xf numFmtId="167" fontId="4" fillId="3" borderId="16" xfId="6" applyNumberFormat="1" applyFont="1" applyFill="1" applyBorder="1" applyAlignment="1">
      <alignment horizontal="right" vertical="center"/>
    </xf>
    <xf numFmtId="0" fontId="5" fillId="0" borderId="3" xfId="5" applyFont="1" applyBorder="1" applyAlignment="1">
      <alignment vertical="center" wrapText="1"/>
    </xf>
    <xf numFmtId="167" fontId="5" fillId="0" borderId="15" xfId="6" applyNumberFormat="1" applyFont="1" applyBorder="1" applyAlignment="1">
      <alignment horizontal="right" vertical="center"/>
    </xf>
    <xf numFmtId="167" fontId="5" fillId="0" borderId="21" xfId="6" applyNumberFormat="1" applyFont="1" applyBorder="1" applyAlignment="1">
      <alignment horizontal="right" vertical="center"/>
    </xf>
    <xf numFmtId="167" fontId="4" fillId="3" borderId="17" xfId="6" applyNumberFormat="1" applyFont="1" applyFill="1" applyBorder="1" applyAlignment="1">
      <alignment horizontal="right" vertical="center"/>
    </xf>
    <xf numFmtId="0" fontId="5" fillId="0" borderId="1" xfId="1" applyNumberFormat="1" applyFont="1" applyBorder="1" applyAlignment="1">
      <alignment horizontal="center" vertical="center"/>
    </xf>
    <xf numFmtId="49" fontId="5" fillId="3" borderId="1" xfId="7" applyNumberFormat="1" applyFont="1" applyFill="1" applyBorder="1" applyAlignment="1">
      <alignment horizontal="center" vertical="center" wrapText="1"/>
    </xf>
    <xf numFmtId="167" fontId="4" fillId="3" borderId="14" xfId="2" applyNumberFormat="1" applyFont="1" applyFill="1" applyBorder="1" applyAlignment="1">
      <alignment horizontal="right" vertical="center" wrapText="1"/>
    </xf>
    <xf numFmtId="9" fontId="5" fillId="0" borderId="1" xfId="3" applyFont="1" applyBorder="1" applyAlignment="1">
      <alignment horizontal="center" vertical="center" wrapText="1"/>
    </xf>
    <xf numFmtId="49" fontId="5" fillId="0" borderId="1" xfId="7" applyNumberFormat="1" applyFont="1" applyBorder="1" applyAlignment="1">
      <alignment horizontal="center" vertical="center" wrapText="1"/>
    </xf>
    <xf numFmtId="167" fontId="5" fillId="0" borderId="2" xfId="6" applyNumberFormat="1" applyFont="1" applyBorder="1" applyAlignment="1">
      <alignment horizontal="right" vertical="center" wrapText="1"/>
    </xf>
    <xf numFmtId="167" fontId="5" fillId="0" borderId="22" xfId="6" applyNumberFormat="1" applyFont="1" applyBorder="1" applyAlignment="1">
      <alignment horizontal="right" vertical="center" wrapText="1"/>
    </xf>
    <xf numFmtId="167" fontId="4" fillId="7" borderId="8" xfId="2" applyNumberFormat="1" applyFont="1" applyFill="1" applyBorder="1" applyAlignment="1">
      <alignment horizontal="right" vertical="center" wrapText="1"/>
    </xf>
    <xf numFmtId="164" fontId="2" fillId="0" borderId="0" xfId="2" applyNumberFormat="1" applyFont="1" applyAlignment="1">
      <alignment vertical="center" wrapText="1"/>
    </xf>
    <xf numFmtId="169" fontId="9" fillId="0" borderId="13" xfId="0" applyNumberFormat="1" applyFont="1" applyBorder="1" applyAlignment="1">
      <alignment horizontal="right" vertical="center"/>
    </xf>
    <xf numFmtId="0" fontId="14" fillId="0" borderId="13" xfId="0" applyFont="1" applyBorder="1" applyAlignment="1">
      <alignment horizontal="center" vertical="center"/>
    </xf>
    <xf numFmtId="169" fontId="14" fillId="0" borderId="13" xfId="2" applyNumberFormat="1" applyFont="1" applyBorder="1" applyAlignment="1">
      <alignment horizontal="right" vertical="center"/>
    </xf>
    <xf numFmtId="172" fontId="0" fillId="0" borderId="13" xfId="11" applyNumberFormat="1" applyFont="1" applyBorder="1" applyAlignment="1">
      <alignment horizontal="right" vertical="center"/>
    </xf>
    <xf numFmtId="172" fontId="9" fillId="0" borderId="13" xfId="11" applyNumberFormat="1" applyFont="1" applyBorder="1" applyAlignment="1">
      <alignment horizontal="right" vertical="center"/>
    </xf>
    <xf numFmtId="172" fontId="12" fillId="0" borderId="13" xfId="0" applyNumberFormat="1" applyFont="1" applyBorder="1" applyAlignment="1">
      <alignment horizontal="right" vertical="center"/>
    </xf>
    <xf numFmtId="172" fontId="13" fillId="0" borderId="13" xfId="0" applyNumberFormat="1" applyFont="1" applyBorder="1" applyAlignment="1">
      <alignment horizontal="right" vertical="center"/>
    </xf>
    <xf numFmtId="172" fontId="0" fillId="0" borderId="13" xfId="2" applyNumberFormat="1" applyFont="1" applyFill="1" applyBorder="1" applyAlignment="1">
      <alignment vertical="center" wrapText="1"/>
    </xf>
    <xf numFmtId="172" fontId="9" fillId="0" borderId="13" xfId="0" applyNumberFormat="1" applyFont="1" applyBorder="1" applyAlignment="1">
      <alignment horizontal="right" vertical="center" wrapText="1"/>
    </xf>
    <xf numFmtId="0" fontId="9" fillId="13" borderId="13" xfId="0" applyFont="1" applyFill="1" applyBorder="1" applyAlignment="1">
      <alignment horizontal="center" vertical="center" wrapText="1"/>
    </xf>
    <xf numFmtId="172" fontId="9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170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 wrapText="1"/>
    </xf>
    <xf numFmtId="168" fontId="19" fillId="0" borderId="0" xfId="2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9" fillId="13" borderId="13" xfId="0" applyFont="1" applyFill="1" applyBorder="1" applyAlignment="1">
      <alignment horizontal="center" vertical="center" wrapText="1"/>
    </xf>
    <xf numFmtId="0" fontId="19" fillId="13" borderId="13" xfId="5" applyFont="1" applyFill="1" applyBorder="1" applyAlignment="1">
      <alignment horizontal="center" vertical="center" wrapText="1"/>
    </xf>
    <xf numFmtId="0" fontId="9" fillId="13" borderId="13" xfId="5" applyFont="1" applyFill="1" applyBorder="1" applyAlignment="1">
      <alignment horizontal="center" vertical="center" wrapText="1"/>
    </xf>
    <xf numFmtId="168" fontId="9" fillId="13" borderId="13" xfId="2" applyNumberFormat="1" applyFont="1" applyFill="1" applyBorder="1" applyAlignment="1">
      <alignment horizontal="center" vertical="center" wrapText="1"/>
    </xf>
    <xf numFmtId="165" fontId="14" fillId="0" borderId="13" xfId="6" applyFont="1" applyBorder="1" applyAlignment="1">
      <alignment horizontal="center" vertical="center" wrapText="1"/>
    </xf>
    <xf numFmtId="1" fontId="14" fillId="0" borderId="13" xfId="1" applyNumberFormat="1" applyFont="1" applyFill="1" applyBorder="1" applyAlignment="1">
      <alignment horizontal="center" vertical="center" wrapText="1"/>
    </xf>
    <xf numFmtId="0" fontId="14" fillId="0" borderId="13" xfId="7" applyNumberFormat="1" applyFont="1" applyFill="1" applyBorder="1" applyAlignment="1">
      <alignment horizontal="center" vertical="center" wrapText="1"/>
    </xf>
    <xf numFmtId="172" fontId="0" fillId="0" borderId="13" xfId="6" applyNumberFormat="1" applyFont="1" applyBorder="1" applyAlignment="1">
      <alignment horizontal="right" vertical="center"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9" fillId="12" borderId="13" xfId="0" applyFont="1" applyFill="1" applyBorder="1" applyAlignment="1">
      <alignment horizontal="center" vertical="center" wrapText="1"/>
    </xf>
    <xf numFmtId="168" fontId="9" fillId="13" borderId="13" xfId="11" applyNumberFormat="1" applyFont="1" applyFill="1" applyBorder="1" applyAlignment="1">
      <alignment horizontal="center" vertical="center" wrapText="1"/>
    </xf>
    <xf numFmtId="0" fontId="14" fillId="0" borderId="13" xfId="5" applyFont="1" applyBorder="1" applyAlignment="1">
      <alignment horizontal="center" vertical="center" wrapText="1"/>
    </xf>
    <xf numFmtId="172" fontId="9" fillId="0" borderId="13" xfId="0" applyNumberFormat="1" applyFont="1" applyBorder="1" applyAlignment="1">
      <alignment vertical="center"/>
    </xf>
    <xf numFmtId="170" fontId="9" fillId="0" borderId="13" xfId="0" applyNumberFormat="1" applyFont="1" applyBorder="1" applyAlignment="1">
      <alignment horizontal="right" vertical="center"/>
    </xf>
    <xf numFmtId="165" fontId="23" fillId="0" borderId="13" xfId="6" applyFont="1" applyBorder="1" applyAlignment="1">
      <alignment horizontal="center" vertical="center" wrapText="1"/>
    </xf>
    <xf numFmtId="0" fontId="23" fillId="0" borderId="13" xfId="7" applyNumberFormat="1" applyFont="1" applyFill="1" applyBorder="1" applyAlignment="1">
      <alignment horizontal="center" vertical="center" wrapText="1"/>
    </xf>
    <xf numFmtId="172" fontId="23" fillId="0" borderId="13" xfId="6" applyNumberFormat="1" applyFont="1" applyBorder="1" applyAlignment="1">
      <alignment horizontal="right" vertical="center" wrapText="1"/>
    </xf>
    <xf numFmtId="172" fontId="23" fillId="0" borderId="13" xfId="2" applyNumberFormat="1" applyFont="1" applyFill="1" applyBorder="1" applyAlignment="1">
      <alignment horizontal="right" vertical="center" wrapText="1"/>
    </xf>
    <xf numFmtId="0" fontId="24" fillId="0" borderId="0" xfId="0" applyFont="1"/>
    <xf numFmtId="0" fontId="24" fillId="0" borderId="0" xfId="5" applyFont="1" applyAlignment="1">
      <alignment vertical="center" wrapText="1"/>
    </xf>
    <xf numFmtId="0" fontId="24" fillId="0" borderId="13" xfId="0" applyFont="1" applyBorder="1"/>
    <xf numFmtId="172" fontId="24" fillId="0" borderId="13" xfId="2" applyNumberFormat="1" applyFont="1" applyBorder="1"/>
    <xf numFmtId="0" fontId="17" fillId="0" borderId="13" xfId="5" applyFont="1" applyBorder="1" applyAlignment="1">
      <alignment horizontal="center" vertical="center" wrapText="1"/>
    </xf>
    <xf numFmtId="9" fontId="24" fillId="0" borderId="13" xfId="3" applyFont="1" applyBorder="1" applyAlignment="1">
      <alignment vertical="center" wrapText="1"/>
    </xf>
    <xf numFmtId="172" fontId="24" fillId="0" borderId="13" xfId="2" applyNumberFormat="1" applyFont="1" applyBorder="1" applyAlignment="1">
      <alignment vertical="center" wrapText="1"/>
    </xf>
    <xf numFmtId="172" fontId="17" fillId="0" borderId="0" xfId="0" applyNumberFormat="1" applyFont="1"/>
    <xf numFmtId="0" fontId="24" fillId="0" borderId="0" xfId="0" applyFont="1" applyAlignment="1">
      <alignment vertical="center"/>
    </xf>
    <xf numFmtId="44" fontId="24" fillId="0" borderId="0" xfId="2" applyFont="1" applyAlignment="1">
      <alignment vertical="center"/>
    </xf>
    <xf numFmtId="166" fontId="17" fillId="0" borderId="0" xfId="4" applyNumberFormat="1" applyFont="1" applyBorder="1" applyAlignment="1">
      <alignment horizontal="center" vertical="center"/>
    </xf>
    <xf numFmtId="0" fontId="25" fillId="2" borderId="13" xfId="5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0" fontId="25" fillId="8" borderId="13" xfId="5" applyFont="1" applyFill="1" applyBorder="1" applyAlignment="1">
      <alignment horizontal="center" vertical="center" wrapText="1"/>
    </xf>
    <xf numFmtId="172" fontId="26" fillId="9" borderId="13" xfId="2" applyNumberFormat="1" applyFont="1" applyFill="1" applyBorder="1" applyAlignment="1">
      <alignment horizontal="right" vertical="center" wrapText="1"/>
    </xf>
    <xf numFmtId="0" fontId="24" fillId="0" borderId="13" xfId="0" applyFont="1" applyBorder="1" applyAlignment="1">
      <alignment vertical="center" wrapText="1"/>
    </xf>
    <xf numFmtId="1" fontId="23" fillId="0" borderId="13" xfId="1" applyNumberFormat="1" applyFont="1" applyFill="1" applyBorder="1" applyAlignment="1">
      <alignment horizontal="center" vertical="center" wrapText="1"/>
    </xf>
    <xf numFmtId="172" fontId="24" fillId="0" borderId="13" xfId="6" applyNumberFormat="1" applyFont="1" applyBorder="1" applyAlignment="1">
      <alignment horizontal="right" vertical="center" wrapText="1"/>
    </xf>
    <xf numFmtId="172" fontId="24" fillId="0" borderId="13" xfId="0" applyNumberFormat="1" applyFont="1" applyBorder="1" applyAlignment="1">
      <alignment horizontal="right" vertical="center"/>
    </xf>
    <xf numFmtId="172" fontId="24" fillId="0" borderId="13" xfId="2" applyNumberFormat="1" applyFont="1" applyFill="1" applyBorder="1" applyAlignment="1">
      <alignment horizontal="right" vertical="center" wrapText="1"/>
    </xf>
    <xf numFmtId="167" fontId="24" fillId="0" borderId="0" xfId="0" applyNumberFormat="1" applyFont="1" applyAlignment="1">
      <alignment vertical="center"/>
    </xf>
    <xf numFmtId="172" fontId="24" fillId="0" borderId="13" xfId="2" applyNumberFormat="1" applyFont="1" applyBorder="1" applyAlignment="1">
      <alignment horizontal="right" vertical="center" wrapText="1"/>
    </xf>
    <xf numFmtId="0" fontId="23" fillId="0" borderId="13" xfId="5" applyFont="1" applyBorder="1" applyAlignment="1">
      <alignment vertical="center" wrapText="1"/>
    </xf>
    <xf numFmtId="172" fontId="26" fillId="0" borderId="13" xfId="2" applyNumberFormat="1" applyFont="1" applyFill="1" applyBorder="1" applyAlignment="1">
      <alignment horizontal="right" vertical="center" wrapText="1"/>
    </xf>
    <xf numFmtId="9" fontId="23" fillId="0" borderId="13" xfId="3" applyFont="1" applyFill="1" applyBorder="1" applyAlignment="1">
      <alignment horizontal="center" vertical="center" wrapText="1"/>
    </xf>
    <xf numFmtId="167" fontId="24" fillId="0" borderId="13" xfId="6" applyNumberFormat="1" applyFont="1" applyBorder="1" applyAlignment="1">
      <alignment horizontal="right" vertical="center" wrapText="1"/>
    </xf>
    <xf numFmtId="171" fontId="24" fillId="0" borderId="13" xfId="6" applyNumberFormat="1" applyFont="1" applyBorder="1" applyAlignment="1">
      <alignment horizontal="right" vertical="center" wrapText="1"/>
    </xf>
    <xf numFmtId="172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 wrapText="1"/>
    </xf>
    <xf numFmtId="9" fontId="24" fillId="0" borderId="0" xfId="3" applyFont="1" applyAlignment="1">
      <alignment vertical="center"/>
    </xf>
    <xf numFmtId="164" fontId="27" fillId="0" borderId="0" xfId="0" applyNumberFormat="1" applyFont="1" applyAlignment="1">
      <alignment vertical="center"/>
    </xf>
    <xf numFmtId="168" fontId="24" fillId="0" borderId="0" xfId="2" applyNumberFormat="1" applyFont="1" applyAlignment="1">
      <alignment vertical="center"/>
    </xf>
    <xf numFmtId="0" fontId="26" fillId="9" borderId="19" xfId="5" applyFont="1" applyFill="1" applyBorder="1" applyAlignment="1">
      <alignment horizontal="center" vertical="center" wrapText="1"/>
    </xf>
    <xf numFmtId="172" fontId="26" fillId="9" borderId="20" xfId="2" applyNumberFormat="1" applyFont="1" applyFill="1" applyBorder="1" applyAlignment="1">
      <alignment horizontal="right" vertical="center" wrapText="1"/>
    </xf>
    <xf numFmtId="0" fontId="24" fillId="0" borderId="25" xfId="0" applyFont="1" applyBorder="1" applyAlignment="1">
      <alignment vertical="center" wrapText="1"/>
    </xf>
    <xf numFmtId="165" fontId="23" fillId="0" borderId="25" xfId="6" applyFont="1" applyBorder="1" applyAlignment="1">
      <alignment horizontal="center" vertical="center" wrapText="1"/>
    </xf>
    <xf numFmtId="1" fontId="23" fillId="0" borderId="25" xfId="1" applyNumberFormat="1" applyFont="1" applyFill="1" applyBorder="1" applyAlignment="1">
      <alignment horizontal="center" vertical="center" wrapText="1"/>
    </xf>
    <xf numFmtId="172" fontId="24" fillId="0" borderId="25" xfId="6" applyNumberFormat="1" applyFont="1" applyBorder="1" applyAlignment="1">
      <alignment horizontal="right" vertical="center" wrapText="1"/>
    </xf>
    <xf numFmtId="0" fontId="26" fillId="9" borderId="18" xfId="5" applyFont="1" applyFill="1" applyBorder="1" applyAlignment="1">
      <alignment vertical="center" wrapText="1"/>
    </xf>
    <xf numFmtId="0" fontId="26" fillId="10" borderId="19" xfId="5" applyFont="1" applyFill="1" applyBorder="1" applyAlignment="1">
      <alignment horizontal="center" vertical="center" wrapText="1"/>
    </xf>
    <xf numFmtId="170" fontId="26" fillId="9" borderId="20" xfId="2" applyNumberFormat="1" applyFont="1" applyFill="1" applyBorder="1" applyAlignment="1">
      <alignment horizontal="right" vertical="center" wrapText="1"/>
    </xf>
    <xf numFmtId="0" fontId="24" fillId="0" borderId="28" xfId="0" applyFont="1" applyBorder="1" applyAlignment="1">
      <alignment vertical="center" wrapText="1"/>
    </xf>
    <xf numFmtId="165" fontId="23" fillId="0" borderId="28" xfId="6" applyFont="1" applyBorder="1" applyAlignment="1">
      <alignment horizontal="center" vertical="center" wrapText="1"/>
    </xf>
    <xf numFmtId="1" fontId="23" fillId="0" borderId="28" xfId="1" applyNumberFormat="1" applyFont="1" applyFill="1" applyBorder="1" applyAlignment="1">
      <alignment horizontal="center" vertical="center" wrapText="1"/>
    </xf>
    <xf numFmtId="167" fontId="24" fillId="0" borderId="28" xfId="6" applyNumberFormat="1" applyFont="1" applyBorder="1" applyAlignment="1">
      <alignment horizontal="right" vertical="center" wrapText="1"/>
    </xf>
    <xf numFmtId="171" fontId="24" fillId="0" borderId="28" xfId="6" applyNumberFormat="1" applyFont="1" applyBorder="1" applyAlignment="1">
      <alignment horizontal="right" vertical="center" wrapText="1"/>
    </xf>
    <xf numFmtId="172" fontId="24" fillId="0" borderId="28" xfId="0" applyNumberFormat="1" applyFont="1" applyBorder="1" applyAlignment="1">
      <alignment horizontal="right" vertical="center"/>
    </xf>
    <xf numFmtId="170" fontId="26" fillId="9" borderId="19" xfId="2" applyNumberFormat="1" applyFont="1" applyFill="1" applyBorder="1" applyAlignment="1">
      <alignment horizontal="right" vertical="center" wrapText="1"/>
    </xf>
    <xf numFmtId="172" fontId="26" fillId="9" borderId="19" xfId="2" applyNumberFormat="1" applyFont="1" applyFill="1" applyBorder="1" applyAlignment="1">
      <alignment horizontal="right" vertical="center" wrapText="1"/>
    </xf>
    <xf numFmtId="172" fontId="0" fillId="0" borderId="13" xfId="2" applyNumberFormat="1" applyFont="1" applyBorder="1" applyAlignment="1">
      <alignment horizontal="right" vertical="center"/>
    </xf>
    <xf numFmtId="172" fontId="13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9" fillId="0" borderId="0" xfId="5" applyFont="1" applyAlignment="1">
      <alignment horizontal="center" vertical="center" wrapText="1"/>
    </xf>
    <xf numFmtId="169" fontId="14" fillId="0" borderId="0" xfId="2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169" fontId="9" fillId="0" borderId="0" xfId="0" applyNumberFormat="1" applyFont="1" applyAlignment="1">
      <alignment vertical="center"/>
    </xf>
    <xf numFmtId="0" fontId="14" fillId="0" borderId="13" xfId="0" applyFont="1" applyBorder="1" applyAlignment="1">
      <alignment horizontal="center" vertical="center" wrapText="1"/>
    </xf>
    <xf numFmtId="0" fontId="24" fillId="0" borderId="18" xfId="0" applyFont="1" applyBorder="1" applyAlignment="1">
      <alignment vertical="center" wrapText="1"/>
    </xf>
    <xf numFmtId="165" fontId="23" fillId="0" borderId="18" xfId="6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/>
    </xf>
    <xf numFmtId="169" fontId="9" fillId="0" borderId="13" xfId="0" applyNumberFormat="1" applyFont="1" applyBorder="1" applyAlignment="1">
      <alignment vertical="center"/>
    </xf>
    <xf numFmtId="172" fontId="14" fillId="0" borderId="13" xfId="0" applyNumberFormat="1" applyFont="1" applyBorder="1" applyAlignment="1">
      <alignment horizontal="right" vertical="center"/>
    </xf>
    <xf numFmtId="0" fontId="29" fillId="0" borderId="13" xfId="0" applyFont="1" applyBorder="1" applyAlignment="1">
      <alignment horizontal="left" vertical="justify" wrapText="1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172" fontId="13" fillId="0" borderId="13" xfId="0" applyNumberFormat="1" applyFont="1" applyBorder="1" applyAlignment="1">
      <alignment vertical="center"/>
    </xf>
    <xf numFmtId="172" fontId="13" fillId="0" borderId="13" xfId="0" applyNumberFormat="1" applyFont="1" applyBorder="1" applyAlignment="1">
      <alignment vertical="center" wrapText="1"/>
    </xf>
    <xf numFmtId="0" fontId="12" fillId="14" borderId="13" xfId="0" applyFont="1" applyFill="1" applyBorder="1" applyAlignment="1">
      <alignment horizontal="center" vertical="center"/>
    </xf>
    <xf numFmtId="172" fontId="14" fillId="0" borderId="13" xfId="2" applyNumberFormat="1" applyFont="1" applyBorder="1" applyAlignment="1">
      <alignment horizontal="right" vertical="center"/>
    </xf>
    <xf numFmtId="172" fontId="24" fillId="0" borderId="13" xfId="2" applyNumberFormat="1" applyFont="1" applyBorder="1" applyAlignment="1">
      <alignment vertical="center"/>
    </xf>
    <xf numFmtId="0" fontId="9" fillId="13" borderId="13" xfId="0" applyFont="1" applyFill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4" fillId="0" borderId="13" xfId="2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6" fillId="9" borderId="18" xfId="5" applyFont="1" applyFill="1" applyBorder="1" applyAlignment="1">
      <alignment horizontal="center" vertical="center" wrapText="1"/>
    </xf>
    <xf numFmtId="0" fontId="26" fillId="9" borderId="19" xfId="5" applyFont="1" applyFill="1" applyBorder="1" applyAlignment="1">
      <alignment horizontal="center" vertical="center" wrapText="1"/>
    </xf>
    <xf numFmtId="0" fontId="26" fillId="9" borderId="20" xfId="5" applyFont="1" applyFill="1" applyBorder="1" applyAlignment="1">
      <alignment horizontal="center" vertical="center" wrapText="1"/>
    </xf>
    <xf numFmtId="0" fontId="26" fillId="9" borderId="18" xfId="5" applyFont="1" applyFill="1" applyBorder="1" applyAlignment="1">
      <alignment horizontal="left" vertical="center" wrapText="1"/>
    </xf>
    <xf numFmtId="0" fontId="26" fillId="9" borderId="19" xfId="5" applyFont="1" applyFill="1" applyBorder="1" applyAlignment="1">
      <alignment horizontal="left" vertical="center" wrapText="1"/>
    </xf>
    <xf numFmtId="0" fontId="26" fillId="9" borderId="20" xfId="5" applyFont="1" applyFill="1" applyBorder="1" applyAlignment="1">
      <alignment horizontal="left" vertical="center" wrapText="1"/>
    </xf>
    <xf numFmtId="43" fontId="17" fillId="0" borderId="29" xfId="4" applyFont="1" applyBorder="1" applyAlignment="1">
      <alignment horizontal="center" vertical="center"/>
    </xf>
    <xf numFmtId="43" fontId="8" fillId="0" borderId="0" xfId="4" applyFont="1" applyBorder="1" applyAlignment="1">
      <alignment horizontal="center" vertical="center" wrapText="1"/>
    </xf>
    <xf numFmtId="0" fontId="7" fillId="6" borderId="5" xfId="5" applyFont="1" applyFill="1" applyBorder="1" applyAlignment="1">
      <alignment horizontal="center" vertical="center" wrapText="1"/>
    </xf>
    <xf numFmtId="0" fontId="7" fillId="6" borderId="6" xfId="5" applyFont="1" applyFill="1" applyBorder="1" applyAlignment="1">
      <alignment horizontal="center" vertical="center" wrapText="1"/>
    </xf>
    <xf numFmtId="0" fontId="7" fillId="6" borderId="7" xfId="5" applyFont="1" applyFill="1" applyBorder="1" applyAlignment="1">
      <alignment horizontal="center" vertical="center" wrapText="1"/>
    </xf>
    <xf numFmtId="0" fontId="13" fillId="12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13" borderId="18" xfId="0" applyFont="1" applyFill="1" applyBorder="1" applyAlignment="1">
      <alignment horizontal="center" vertical="center"/>
    </xf>
    <xf numFmtId="0" fontId="9" fillId="13" borderId="19" xfId="0" applyFont="1" applyFill="1" applyBorder="1" applyAlignment="1">
      <alignment horizontal="center" vertical="center"/>
    </xf>
    <xf numFmtId="0" fontId="9" fillId="13" borderId="20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13" borderId="18" xfId="0" applyFont="1" applyFill="1" applyBorder="1" applyAlignment="1">
      <alignment horizontal="center" vertical="center" wrapText="1"/>
    </xf>
    <xf numFmtId="0" fontId="9" fillId="13" borderId="19" xfId="0" applyFont="1" applyFill="1" applyBorder="1" applyAlignment="1">
      <alignment horizontal="center" vertical="center" wrapText="1"/>
    </xf>
    <xf numFmtId="0" fontId="9" fillId="13" borderId="20" xfId="0" applyFont="1" applyFill="1" applyBorder="1" applyAlignment="1">
      <alignment horizontal="center" vertical="center" wrapText="1"/>
    </xf>
    <xf numFmtId="0" fontId="0" fillId="15" borderId="30" xfId="0" applyFill="1" applyBorder="1" applyAlignment="1">
      <alignment horizontal="left" vertical="center" wrapText="1"/>
    </xf>
    <xf numFmtId="0" fontId="0" fillId="15" borderId="31" xfId="0" applyFill="1" applyBorder="1" applyAlignment="1">
      <alignment horizontal="left" vertical="center" wrapText="1"/>
    </xf>
    <xf numFmtId="0" fontId="0" fillId="15" borderId="32" xfId="0" applyFill="1" applyBorder="1" applyAlignment="1">
      <alignment horizontal="left" vertical="center" wrapText="1"/>
    </xf>
    <xf numFmtId="0" fontId="0" fillId="15" borderId="36" xfId="0" applyFill="1" applyBorder="1" applyAlignment="1">
      <alignment horizontal="left" vertical="center" wrapText="1"/>
    </xf>
    <xf numFmtId="0" fontId="0" fillId="15" borderId="0" xfId="0" applyFill="1" applyAlignment="1">
      <alignment horizontal="left" vertical="center" wrapText="1"/>
    </xf>
    <xf numFmtId="0" fontId="0" fillId="15" borderId="37" xfId="0" applyFill="1" applyBorder="1" applyAlignment="1">
      <alignment horizontal="left" vertical="center" wrapText="1"/>
    </xf>
    <xf numFmtId="0" fontId="0" fillId="15" borderId="33" xfId="0" applyFill="1" applyBorder="1" applyAlignment="1">
      <alignment horizontal="left" vertical="center" wrapText="1"/>
    </xf>
    <xf numFmtId="0" fontId="0" fillId="15" borderId="34" xfId="0" applyFill="1" applyBorder="1" applyAlignment="1">
      <alignment horizontal="left" vertical="center" wrapText="1"/>
    </xf>
    <xf numFmtId="0" fontId="0" fillId="15" borderId="35" xfId="0" applyFill="1" applyBorder="1" applyAlignment="1">
      <alignment horizontal="left" vertical="center" wrapText="1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9" fillId="13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9" fillId="13" borderId="13" xfId="0" applyFont="1" applyFill="1" applyBorder="1" applyAlignment="1">
      <alignment horizontal="center" vertical="center"/>
    </xf>
    <xf numFmtId="0" fontId="28" fillId="12" borderId="18" xfId="0" applyFont="1" applyFill="1" applyBorder="1" applyAlignment="1">
      <alignment horizontal="center" vertical="center" wrapText="1"/>
    </xf>
    <xf numFmtId="0" fontId="28" fillId="12" borderId="19" xfId="0" applyFont="1" applyFill="1" applyBorder="1" applyAlignment="1">
      <alignment horizontal="center" vertical="center" wrapText="1"/>
    </xf>
    <xf numFmtId="0" fontId="28" fillId="12" borderId="20" xfId="0" applyFont="1" applyFill="1" applyBorder="1" applyAlignment="1">
      <alignment horizontal="center" vertical="center" wrapText="1"/>
    </xf>
  </cellXfs>
  <cellStyles count="14">
    <cellStyle name="Hipervínculo 2" xfId="8" xr:uid="{76F19BA7-B22A-4DD4-ACC4-A79826F55371}"/>
    <cellStyle name="Millares" xfId="1" builtinId="3"/>
    <cellStyle name="Millares [0] 4" xfId="7" xr:uid="{CE9F319F-4DDE-4472-8D62-55094EBD9A39}"/>
    <cellStyle name="Millares [0] 4 2" xfId="13" xr:uid="{ADF5A3E8-45CD-47AA-A4F6-4D11509A379C}"/>
    <cellStyle name="Millares 2" xfId="10" xr:uid="{EC35A679-D38C-406E-BBF8-6E38CB04760A}"/>
    <cellStyle name="Millares 20" xfId="4" xr:uid="{443D3362-D9CF-4E63-AC7D-C79AF9484736}"/>
    <cellStyle name="Millares 20 2" xfId="12" xr:uid="{6C377EFA-19A1-4CCC-83E5-1D575208101E}"/>
    <cellStyle name="Millares 3" xfId="9" xr:uid="{91A72D76-068A-4413-ACE8-295116625F0E}"/>
    <cellStyle name="Moneda" xfId="2" builtinId="4"/>
    <cellStyle name="Moneda 2" xfId="11" xr:uid="{3C8D1399-6EC0-48C0-9D13-C0DE43AA2F37}"/>
    <cellStyle name="Normal" xfId="0" builtinId="0"/>
    <cellStyle name="Normal 4 2" xfId="6" xr:uid="{0A7D71BA-5208-427F-B876-06326B576FFA}"/>
    <cellStyle name="Normal 8" xfId="5" xr:uid="{B3E9CB0C-F17E-48CF-954F-3B1580747239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DE05C-FF1B-4CF4-8EC7-497389D72340}">
  <dimension ref="A2:L55"/>
  <sheetViews>
    <sheetView showGridLines="0" tabSelected="1" zoomScale="80" zoomScaleNormal="80" workbookViewId="0">
      <pane ySplit="4" topLeftCell="A5" activePane="bottomLeft" state="frozen"/>
      <selection pane="bottomLeft" activeCell="K33" sqref="K33"/>
    </sheetView>
  </sheetViews>
  <sheetFormatPr baseColWidth="10" defaultColWidth="22.28515625" defaultRowHeight="12.75" x14ac:dyDescent="0.25"/>
  <cols>
    <col min="1" max="1" width="72.7109375" style="135" customWidth="1"/>
    <col min="2" max="2" width="15.85546875" style="115" bestFit="1" customWidth="1"/>
    <col min="3" max="3" width="11" style="115" customWidth="1"/>
    <col min="4" max="4" width="20" style="115" bestFit="1" customWidth="1"/>
    <col min="5" max="5" width="21.85546875" style="115" customWidth="1"/>
    <col min="6" max="6" width="16.42578125" style="115" bestFit="1" customWidth="1"/>
    <col min="7" max="7" width="24.7109375" style="115" bestFit="1" customWidth="1"/>
    <col min="8" max="8" width="22.7109375" style="115" bestFit="1" customWidth="1"/>
    <col min="9" max="9" width="22.28515625" style="116"/>
    <col min="10" max="16384" width="22.28515625" style="115"/>
  </cols>
  <sheetData>
    <row r="2" spans="1:12" ht="14.25" x14ac:dyDescent="0.25">
      <c r="A2" s="187" t="s">
        <v>0</v>
      </c>
      <c r="B2" s="187"/>
      <c r="C2" s="187"/>
      <c r="D2" s="187"/>
      <c r="E2" s="187"/>
      <c r="F2" s="187"/>
      <c r="G2" s="187"/>
      <c r="H2" s="187"/>
    </row>
    <row r="3" spans="1:12" ht="15" customHeight="1" x14ac:dyDescent="0.25">
      <c r="A3" s="115"/>
      <c r="B3" s="194" t="s">
        <v>1</v>
      </c>
      <c r="C3" s="194"/>
      <c r="D3" s="117">
        <v>160</v>
      </c>
    </row>
    <row r="4" spans="1:12" ht="25.5" x14ac:dyDescent="0.25">
      <c r="A4" s="118" t="s">
        <v>2</v>
      </c>
      <c r="B4" s="119" t="s">
        <v>3</v>
      </c>
      <c r="C4" s="119" t="s">
        <v>4</v>
      </c>
      <c r="D4" s="118" t="s">
        <v>5</v>
      </c>
      <c r="E4" s="118" t="s">
        <v>6</v>
      </c>
      <c r="F4" s="120" t="s">
        <v>7</v>
      </c>
      <c r="G4" s="120" t="s">
        <v>8</v>
      </c>
      <c r="H4" s="118" t="s">
        <v>9</v>
      </c>
    </row>
    <row r="5" spans="1:12" ht="16.5" customHeight="1" x14ac:dyDescent="0.25">
      <c r="A5" s="145" t="s">
        <v>158</v>
      </c>
      <c r="B5" s="146"/>
      <c r="C5" s="139"/>
      <c r="D5" s="147"/>
      <c r="E5" s="121">
        <f>SUM(E6:E6)</f>
        <v>194800000</v>
      </c>
      <c r="F5" s="121"/>
      <c r="G5" s="121"/>
      <c r="H5" s="121">
        <f>SUM(H6:H6)</f>
        <v>194800000</v>
      </c>
    </row>
    <row r="6" spans="1:12" ht="16.5" customHeight="1" x14ac:dyDescent="0.25">
      <c r="A6" s="122" t="s">
        <v>10</v>
      </c>
      <c r="B6" s="103" t="s">
        <v>11</v>
      </c>
      <c r="C6" s="123">
        <f>+'PPTO DPS'!C7</f>
        <v>1</v>
      </c>
      <c r="D6" s="124">
        <f>'ANEXO PPTO PS'!G16</f>
        <v>194800000</v>
      </c>
      <c r="E6" s="124">
        <f>+D6*C6</f>
        <v>194800000</v>
      </c>
      <c r="F6" s="125"/>
      <c r="G6" s="126"/>
      <c r="H6" s="125">
        <f>+G6+E6</f>
        <v>194800000</v>
      </c>
      <c r="J6" s="127"/>
    </row>
    <row r="7" spans="1:12" ht="16.5" customHeight="1" x14ac:dyDescent="0.25">
      <c r="A7" s="145" t="s">
        <v>12</v>
      </c>
      <c r="B7" s="146"/>
      <c r="C7" s="139"/>
      <c r="D7" s="147"/>
      <c r="E7" s="121">
        <f>E8</f>
        <v>2596250</v>
      </c>
      <c r="F7" s="121"/>
      <c r="G7" s="121"/>
      <c r="H7" s="121">
        <f>SUM(H8)</f>
        <v>2596250</v>
      </c>
    </row>
    <row r="8" spans="1:12" s="108" customFormat="1" ht="16.5" customHeight="1" x14ac:dyDescent="0.2">
      <c r="A8" s="122" t="s">
        <v>13</v>
      </c>
      <c r="B8" s="103" t="s">
        <v>11</v>
      </c>
      <c r="C8" s="104">
        <v>1</v>
      </c>
      <c r="D8" s="128">
        <f>'ANEXO PPTO PS'!G26</f>
        <v>2596250</v>
      </c>
      <c r="E8" s="105">
        <f>D8</f>
        <v>2596250</v>
      </c>
      <c r="F8" s="105"/>
      <c r="G8" s="105"/>
      <c r="H8" s="106">
        <f>+E8+G8</f>
        <v>2596250</v>
      </c>
      <c r="I8" s="116"/>
      <c r="J8" s="127"/>
      <c r="K8" s="107"/>
      <c r="L8" s="107"/>
    </row>
    <row r="9" spans="1:12" ht="16.5" customHeight="1" x14ac:dyDescent="0.25">
      <c r="A9" s="145" t="s">
        <v>157</v>
      </c>
      <c r="B9" s="146"/>
      <c r="C9" s="139"/>
      <c r="D9" s="147"/>
      <c r="E9" s="121">
        <f>SUM(E10:E12)</f>
        <v>112840000</v>
      </c>
      <c r="F9" s="121"/>
      <c r="G9" s="121"/>
      <c r="H9" s="121">
        <f>SUM(H10:H12)</f>
        <v>112840000</v>
      </c>
    </row>
    <row r="10" spans="1:12" ht="16.5" customHeight="1" x14ac:dyDescent="0.25">
      <c r="A10" s="122" t="s">
        <v>14</v>
      </c>
      <c r="B10" s="103" t="s">
        <v>11</v>
      </c>
      <c r="C10" s="123">
        <v>1</v>
      </c>
      <c r="D10" s="124">
        <f>'ANEXO PPTO PS'!O13</f>
        <v>77440000</v>
      </c>
      <c r="E10" s="124">
        <f>+C10*D10</f>
        <v>77440000</v>
      </c>
      <c r="F10" s="125"/>
      <c r="G10" s="126"/>
      <c r="H10" s="125">
        <f>+G10+E10</f>
        <v>77440000</v>
      </c>
      <c r="J10" s="127"/>
    </row>
    <row r="11" spans="1:12" ht="26.25" customHeight="1" x14ac:dyDescent="0.25">
      <c r="A11" s="122" t="s">
        <v>15</v>
      </c>
      <c r="B11" s="165" t="s">
        <v>11</v>
      </c>
      <c r="C11" s="123">
        <v>1</v>
      </c>
      <c r="D11" s="124">
        <f>'ANEXO PPTO PS'!P22</f>
        <v>33960000</v>
      </c>
      <c r="E11" s="124">
        <f>+C11*D11</f>
        <v>33960000</v>
      </c>
      <c r="F11" s="125"/>
      <c r="G11" s="126"/>
      <c r="H11" s="125">
        <f t="shared" ref="H11:H12" si="0">+G11+E11</f>
        <v>33960000</v>
      </c>
      <c r="J11" s="127"/>
    </row>
    <row r="12" spans="1:12" ht="16.5" customHeight="1" x14ac:dyDescent="0.25">
      <c r="A12" s="164" t="s">
        <v>16</v>
      </c>
      <c r="B12" s="103" t="s">
        <v>17</v>
      </c>
      <c r="C12" s="123">
        <v>160</v>
      </c>
      <c r="D12" s="124">
        <f>'ANEXO PPTO PS'!E69</f>
        <v>9000</v>
      </c>
      <c r="E12" s="124">
        <f>+C12*D12</f>
        <v>1440000</v>
      </c>
      <c r="F12" s="125"/>
      <c r="G12" s="126"/>
      <c r="H12" s="125">
        <f t="shared" si="0"/>
        <v>1440000</v>
      </c>
      <c r="J12" s="127"/>
    </row>
    <row r="13" spans="1:12" ht="16.5" customHeight="1" x14ac:dyDescent="0.25">
      <c r="A13" s="145" t="s">
        <v>156</v>
      </c>
      <c r="B13" s="146"/>
      <c r="C13" s="139"/>
      <c r="D13" s="147"/>
      <c r="E13" s="121">
        <f>SUM(E14:E14)</f>
        <v>4800000</v>
      </c>
      <c r="F13" s="121"/>
      <c r="G13" s="121"/>
      <c r="H13" s="121">
        <f>SUM(H14:H14)</f>
        <v>4800000</v>
      </c>
    </row>
    <row r="14" spans="1:12" ht="16.5" customHeight="1" x14ac:dyDescent="0.25">
      <c r="A14" s="122" t="s">
        <v>18</v>
      </c>
      <c r="B14" s="103" t="s">
        <v>11</v>
      </c>
      <c r="C14" s="123">
        <f>+'PPTO DPS'!C25</f>
        <v>1</v>
      </c>
      <c r="D14" s="124">
        <f>'ANEXO PPTO PS'!G48</f>
        <v>4800000</v>
      </c>
      <c r="E14" s="124">
        <f>+D14*C14</f>
        <v>4800000</v>
      </c>
      <c r="F14" s="125"/>
      <c r="G14" s="126"/>
      <c r="H14" s="125">
        <f>+G14+E14</f>
        <v>4800000</v>
      </c>
      <c r="J14" s="127"/>
    </row>
    <row r="15" spans="1:12" ht="16.5" customHeight="1" x14ac:dyDescent="0.25">
      <c r="A15" s="145" t="s">
        <v>19</v>
      </c>
      <c r="B15" s="146"/>
      <c r="C15" s="139"/>
      <c r="D15" s="147"/>
      <c r="E15" s="121">
        <f>SUM(E16)</f>
        <v>5600000</v>
      </c>
      <c r="F15" s="121"/>
      <c r="G15" s="121"/>
      <c r="H15" s="121">
        <f>SUM(H16)</f>
        <v>5600000</v>
      </c>
    </row>
    <row r="16" spans="1:12" ht="42.75" customHeight="1" x14ac:dyDescent="0.25">
      <c r="A16" s="122" t="s">
        <v>20</v>
      </c>
      <c r="B16" s="103" t="s">
        <v>17</v>
      </c>
      <c r="C16" s="123">
        <v>160</v>
      </c>
      <c r="D16" s="124">
        <f>'ANEXO PPTO PS'!E55</f>
        <v>35000</v>
      </c>
      <c r="E16" s="124">
        <f>+D16*C16</f>
        <v>5600000</v>
      </c>
      <c r="F16" s="125"/>
      <c r="G16" s="126"/>
      <c r="H16" s="125">
        <f>+G16+E16</f>
        <v>5600000</v>
      </c>
      <c r="J16" s="127"/>
    </row>
    <row r="17" spans="1:10" ht="16.5" customHeight="1" x14ac:dyDescent="0.25">
      <c r="A17" s="145" t="s">
        <v>154</v>
      </c>
      <c r="B17" s="146"/>
      <c r="C17" s="139"/>
      <c r="D17" s="147"/>
      <c r="E17" s="121">
        <f>SUM(E18)</f>
        <v>900000</v>
      </c>
      <c r="F17" s="121"/>
      <c r="G17" s="121"/>
      <c r="H17" s="121">
        <f>SUM(H18)</f>
        <v>900000</v>
      </c>
    </row>
    <row r="18" spans="1:10" ht="16.5" customHeight="1" x14ac:dyDescent="0.25">
      <c r="A18" s="122" t="s">
        <v>159</v>
      </c>
      <c r="B18" s="103" t="s">
        <v>17</v>
      </c>
      <c r="C18" s="123">
        <v>10</v>
      </c>
      <c r="D18" s="124">
        <f>'ANEXO PPTO PS'!M29</f>
        <v>90000</v>
      </c>
      <c r="E18" s="124">
        <f>+D18*C18</f>
        <v>900000</v>
      </c>
      <c r="F18" s="125"/>
      <c r="G18" s="126"/>
      <c r="H18" s="125">
        <f>+E18+G18</f>
        <v>900000</v>
      </c>
      <c r="J18" s="127"/>
    </row>
    <row r="19" spans="1:10" ht="16.5" customHeight="1" x14ac:dyDescent="0.25">
      <c r="A19" s="145" t="s">
        <v>21</v>
      </c>
      <c r="B19" s="146"/>
      <c r="C19" s="139"/>
      <c r="D19" s="147"/>
      <c r="E19" s="121">
        <f>SUM(E20:E21)</f>
        <v>1036920000</v>
      </c>
      <c r="F19" s="121"/>
      <c r="G19" s="121"/>
      <c r="H19" s="121">
        <f>SUM(H20:H21)</f>
        <v>1036920000</v>
      </c>
    </row>
    <row r="20" spans="1:10" ht="16.5" customHeight="1" x14ac:dyDescent="0.25">
      <c r="A20" s="129" t="s">
        <v>22</v>
      </c>
      <c r="B20" s="103" t="s">
        <v>17</v>
      </c>
      <c r="C20" s="104">
        <v>160</v>
      </c>
      <c r="D20" s="181">
        <f>ROUND((1423500*4.5),0)</f>
        <v>6405750</v>
      </c>
      <c r="E20" s="124">
        <f>D20*C20</f>
        <v>1024920000</v>
      </c>
      <c r="F20" s="125"/>
      <c r="G20" s="130"/>
      <c r="H20" s="125">
        <f>+E20+G20</f>
        <v>1024920000</v>
      </c>
      <c r="J20" s="127"/>
    </row>
    <row r="21" spans="1:10" ht="16.5" customHeight="1" x14ac:dyDescent="0.25">
      <c r="A21" s="129" t="s">
        <v>23</v>
      </c>
      <c r="B21" s="103" t="s">
        <v>17</v>
      </c>
      <c r="C21" s="104">
        <v>160</v>
      </c>
      <c r="D21" s="181">
        <v>75000</v>
      </c>
      <c r="E21" s="124">
        <f>D21*C21</f>
        <v>12000000</v>
      </c>
      <c r="F21" s="125"/>
      <c r="G21" s="130"/>
      <c r="H21" s="125">
        <f>+E21+G21</f>
        <v>12000000</v>
      </c>
      <c r="J21" s="127"/>
    </row>
    <row r="22" spans="1:10" ht="16.5" customHeight="1" x14ac:dyDescent="0.25">
      <c r="A22" s="145" t="s">
        <v>155</v>
      </c>
      <c r="B22" s="146"/>
      <c r="C22" s="139"/>
      <c r="D22" s="147"/>
      <c r="E22" s="121">
        <f>SUM(E23)</f>
        <v>30780000</v>
      </c>
      <c r="F22" s="121"/>
      <c r="G22" s="121"/>
      <c r="H22" s="121">
        <f>SUM(H23)</f>
        <v>30780000</v>
      </c>
    </row>
    <row r="23" spans="1:10" ht="27.75" customHeight="1" x14ac:dyDescent="0.25">
      <c r="A23" s="141" t="s">
        <v>24</v>
      </c>
      <c r="B23" s="142" t="s">
        <v>11</v>
      </c>
      <c r="C23" s="143">
        <v>1</v>
      </c>
      <c r="D23" s="144">
        <f>'ANEXO PPTO PS'!O36</f>
        <v>30780000</v>
      </c>
      <c r="E23" s="124">
        <f>+D23*C23</f>
        <v>30780000</v>
      </c>
      <c r="F23" s="125"/>
      <c r="G23" s="126"/>
      <c r="H23" s="125">
        <f>+E23+G23</f>
        <v>30780000</v>
      </c>
      <c r="J23" s="127"/>
    </row>
    <row r="24" spans="1:10" ht="16.5" customHeight="1" x14ac:dyDescent="0.25">
      <c r="A24" s="145" t="s">
        <v>25</v>
      </c>
      <c r="B24" s="146"/>
      <c r="C24" s="139"/>
      <c r="D24" s="147"/>
      <c r="E24" s="140">
        <f>E5+E7+E9+E13+E15+E17+E19+E22</f>
        <v>1389236250</v>
      </c>
      <c r="F24" s="121"/>
      <c r="G24" s="121"/>
      <c r="H24" s="121">
        <f>H5+H7+H9+H13+H15+H17+H19+H22</f>
        <v>1389236250</v>
      </c>
    </row>
    <row r="25" spans="1:10" ht="16.5" customHeight="1" x14ac:dyDescent="0.25">
      <c r="A25" s="145" t="s">
        <v>26</v>
      </c>
      <c r="B25" s="146"/>
      <c r="C25" s="139"/>
      <c r="D25" s="147"/>
      <c r="E25" s="121">
        <f>SUM(E26:E26)</f>
        <v>69461813</v>
      </c>
      <c r="F25" s="121"/>
      <c r="G25" s="121"/>
      <c r="H25" s="121">
        <f>+G25+E25</f>
        <v>69461813</v>
      </c>
    </row>
    <row r="26" spans="1:10" ht="20.25" customHeight="1" x14ac:dyDescent="0.25">
      <c r="A26" s="129" t="s">
        <v>27</v>
      </c>
      <c r="B26" s="103" t="s">
        <v>11</v>
      </c>
      <c r="C26" s="131">
        <f>+'PPTO DPS'!C34</f>
        <v>0.05</v>
      </c>
      <c r="D26" s="105">
        <f>ROUND((E24*C26),0)</f>
        <v>69461813</v>
      </c>
      <c r="E26" s="105">
        <f>ROUND(+D26,0)</f>
        <v>69461813</v>
      </c>
      <c r="F26" s="125"/>
      <c r="G26" s="125"/>
      <c r="H26" s="125">
        <f>+G26+E26</f>
        <v>69461813</v>
      </c>
      <c r="J26" s="127"/>
    </row>
    <row r="27" spans="1:10" ht="16.5" customHeight="1" x14ac:dyDescent="0.25">
      <c r="A27" s="188" t="s">
        <v>28</v>
      </c>
      <c r="B27" s="189"/>
      <c r="C27" s="189"/>
      <c r="D27" s="190"/>
      <c r="E27" s="121">
        <f>+E24+E25</f>
        <v>1458698063</v>
      </c>
      <c r="F27" s="121"/>
      <c r="G27" s="121"/>
      <c r="H27" s="121">
        <f>+H24+H25</f>
        <v>1458698063</v>
      </c>
    </row>
    <row r="28" spans="1:10" ht="16.5" customHeight="1" x14ac:dyDescent="0.25">
      <c r="A28" s="191" t="s">
        <v>29</v>
      </c>
      <c r="B28" s="192"/>
      <c r="C28" s="192"/>
      <c r="D28" s="192"/>
      <c r="E28" s="193"/>
      <c r="F28" s="121"/>
      <c r="G28" s="121">
        <f>G29+G31+G33+G35</f>
        <v>53000000</v>
      </c>
      <c r="H28" s="121">
        <f>H29+H31+H33+H35</f>
        <v>53000000</v>
      </c>
    </row>
    <row r="29" spans="1:10" x14ac:dyDescent="0.25">
      <c r="A29" s="145" t="s">
        <v>30</v>
      </c>
      <c r="B29" s="146"/>
      <c r="C29" s="139"/>
      <c r="D29" s="147"/>
      <c r="E29" s="121"/>
      <c r="F29" s="121"/>
      <c r="G29" s="121">
        <f>SUM(G30:G30)</f>
        <v>21000000</v>
      </c>
      <c r="H29" s="121">
        <f>SUM(H30:H30)</f>
        <v>21000000</v>
      </c>
      <c r="J29" s="134"/>
    </row>
    <row r="30" spans="1:10" x14ac:dyDescent="0.25">
      <c r="A30" s="122" t="s">
        <v>31</v>
      </c>
      <c r="B30" s="103"/>
      <c r="C30" s="123">
        <v>1</v>
      </c>
      <c r="D30" s="132"/>
      <c r="E30" s="133"/>
      <c r="F30" s="125">
        <v>21000000</v>
      </c>
      <c r="G30" s="126">
        <f>F30*C30</f>
        <v>21000000</v>
      </c>
      <c r="H30" s="125">
        <f>+G30+E30</f>
        <v>21000000</v>
      </c>
      <c r="J30" s="134"/>
    </row>
    <row r="31" spans="1:10" x14ac:dyDescent="0.25">
      <c r="A31" s="145" t="s">
        <v>164</v>
      </c>
      <c r="B31" s="146"/>
      <c r="C31" s="139"/>
      <c r="D31" s="154"/>
      <c r="E31" s="155"/>
      <c r="F31" s="140"/>
      <c r="G31" s="140">
        <f>SUM(G32:G32)</f>
        <v>6000000</v>
      </c>
      <c r="H31" s="140">
        <f>SUM(H32:H32)</f>
        <v>6000000</v>
      </c>
      <c r="J31" s="134"/>
    </row>
    <row r="32" spans="1:10" ht="25.5" x14ac:dyDescent="0.25">
      <c r="A32" s="148" t="s">
        <v>32</v>
      </c>
      <c r="B32" s="149"/>
      <c r="C32" s="150">
        <v>1</v>
      </c>
      <c r="D32" s="151"/>
      <c r="E32" s="152"/>
      <c r="F32" s="153">
        <v>6000000</v>
      </c>
      <c r="G32" s="126">
        <f t="shared" ref="G32" si="1">F32*C32</f>
        <v>6000000</v>
      </c>
      <c r="H32" s="125">
        <f>+G32+E32</f>
        <v>6000000</v>
      </c>
      <c r="J32" s="134"/>
    </row>
    <row r="33" spans="1:10" x14ac:dyDescent="0.25">
      <c r="A33" s="145" t="s">
        <v>33</v>
      </c>
      <c r="B33" s="146"/>
      <c r="C33" s="139"/>
      <c r="D33" s="154"/>
      <c r="E33" s="155"/>
      <c r="F33" s="140"/>
      <c r="G33" s="121">
        <f>SUM(G34:G34)</f>
        <v>5000000</v>
      </c>
      <c r="H33" s="121">
        <f>SUM(H34:H34)</f>
        <v>5000000</v>
      </c>
      <c r="J33" s="134"/>
    </row>
    <row r="34" spans="1:10" ht="25.5" x14ac:dyDescent="0.25">
      <c r="A34" s="122" t="s">
        <v>34</v>
      </c>
      <c r="B34" s="103"/>
      <c r="C34" s="123">
        <v>1</v>
      </c>
      <c r="D34" s="132"/>
      <c r="E34" s="133"/>
      <c r="F34" s="125">
        <v>5000000</v>
      </c>
      <c r="G34" s="126">
        <f>F34*C34</f>
        <v>5000000</v>
      </c>
      <c r="H34" s="125">
        <f t="shared" ref="H34" si="2">+G34+E34</f>
        <v>5000000</v>
      </c>
      <c r="J34" s="134"/>
    </row>
    <row r="35" spans="1:10" x14ac:dyDescent="0.25">
      <c r="A35" s="145" t="s">
        <v>167</v>
      </c>
      <c r="B35" s="146"/>
      <c r="C35" s="139"/>
      <c r="D35" s="154"/>
      <c r="E35" s="155"/>
      <c r="F35" s="140"/>
      <c r="G35" s="121">
        <f>G36</f>
        <v>21000000</v>
      </c>
      <c r="H35" s="121">
        <f>H36</f>
        <v>21000000</v>
      </c>
      <c r="J35" s="134"/>
    </row>
    <row r="36" spans="1:10" x14ac:dyDescent="0.25">
      <c r="A36" s="122" t="s">
        <v>168</v>
      </c>
      <c r="B36" s="103"/>
      <c r="C36" s="123">
        <v>1</v>
      </c>
      <c r="D36" s="132"/>
      <c r="E36" s="133"/>
      <c r="F36" s="125">
        <v>21000000</v>
      </c>
      <c r="G36" s="126">
        <f>C36*F36</f>
        <v>21000000</v>
      </c>
      <c r="H36" s="125">
        <f>G36</f>
        <v>21000000</v>
      </c>
      <c r="J36" s="134"/>
    </row>
    <row r="37" spans="1:10" ht="16.5" customHeight="1" x14ac:dyDescent="0.25">
      <c r="A37" s="145" t="s">
        <v>9</v>
      </c>
      <c r="B37" s="146"/>
      <c r="C37" s="139"/>
      <c r="D37" s="147"/>
      <c r="E37" s="140">
        <f>E27</f>
        <v>1458698063</v>
      </c>
      <c r="F37" s="121"/>
      <c r="G37" s="121">
        <f>G28</f>
        <v>53000000</v>
      </c>
      <c r="H37" s="121">
        <f>+E37+G37</f>
        <v>1511698063</v>
      </c>
    </row>
    <row r="40" spans="1:10" x14ac:dyDescent="0.2">
      <c r="D40" s="109" t="s">
        <v>35</v>
      </c>
      <c r="E40" s="110">
        <f>E37/160</f>
        <v>9116862.8937500007</v>
      </c>
      <c r="H40" s="134"/>
    </row>
    <row r="41" spans="1:10" x14ac:dyDescent="0.2">
      <c r="D41" s="109" t="s">
        <v>36</v>
      </c>
      <c r="E41" s="110">
        <f>E19</f>
        <v>1036920000</v>
      </c>
      <c r="F41" s="136"/>
      <c r="H41" s="134"/>
    </row>
    <row r="42" spans="1:10" x14ac:dyDescent="0.2">
      <c r="D42" s="109" t="s">
        <v>37</v>
      </c>
      <c r="E42" s="110">
        <f>+E37-E41</f>
        <v>421778063</v>
      </c>
      <c r="F42" s="136"/>
      <c r="H42" s="127"/>
    </row>
    <row r="43" spans="1:10" x14ac:dyDescent="0.2">
      <c r="D43" s="107"/>
      <c r="E43" s="107"/>
      <c r="H43" s="127"/>
    </row>
    <row r="44" spans="1:10" x14ac:dyDescent="0.2">
      <c r="D44" s="107"/>
      <c r="E44" s="107"/>
    </row>
    <row r="45" spans="1:10" x14ac:dyDescent="0.25">
      <c r="D45" s="111" t="s">
        <v>38</v>
      </c>
      <c r="E45" s="111" t="s">
        <v>39</v>
      </c>
    </row>
    <row r="46" spans="1:10" x14ac:dyDescent="0.25">
      <c r="D46" s="112">
        <v>0.3</v>
      </c>
      <c r="E46" s="113">
        <f>ROUND(($E$37*D46),0)</f>
        <v>437609419</v>
      </c>
    </row>
    <row r="47" spans="1:10" x14ac:dyDescent="0.25">
      <c r="D47" s="112">
        <v>0.5</v>
      </c>
      <c r="E47" s="113">
        <f>ROUND(($E$37*D47),0)</f>
        <v>729349032</v>
      </c>
    </row>
    <row r="48" spans="1:10" x14ac:dyDescent="0.25">
      <c r="D48" s="112">
        <v>0.2</v>
      </c>
      <c r="E48" s="113">
        <f>ROUND(($E$37*D48),0)</f>
        <v>291739613</v>
      </c>
    </row>
    <row r="49" spans="4:7" x14ac:dyDescent="0.2">
      <c r="D49" s="107"/>
      <c r="E49" s="114">
        <f>SUM(E46:E48)</f>
        <v>1458698064</v>
      </c>
    </row>
    <row r="50" spans="4:7" x14ac:dyDescent="0.25">
      <c r="E50" s="134"/>
    </row>
    <row r="51" spans="4:7" x14ac:dyDescent="0.2">
      <c r="D51" s="115" t="s">
        <v>40</v>
      </c>
      <c r="E51" s="114">
        <v>1500000000</v>
      </c>
    </row>
    <row r="52" spans="4:7" x14ac:dyDescent="0.2">
      <c r="E52" s="114"/>
    </row>
    <row r="53" spans="4:7" x14ac:dyDescent="0.25">
      <c r="E53" s="134"/>
      <c r="G53" s="137"/>
    </row>
    <row r="55" spans="4:7" x14ac:dyDescent="0.25">
      <c r="E55" s="138"/>
    </row>
  </sheetData>
  <mergeCells count="4">
    <mergeCell ref="A2:H2"/>
    <mergeCell ref="A27:D27"/>
    <mergeCell ref="A28:E28"/>
    <mergeCell ref="B3:C3"/>
  </mergeCells>
  <pageMargins left="0.7" right="0.7" top="0.75" bottom="0.75" header="0.3" footer="0.3"/>
  <ignoredErrors>
    <ignoredError sqref="H31 H3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C8A5F-A002-4365-9A15-3676E5A71109}">
  <dimension ref="A2:J39"/>
  <sheetViews>
    <sheetView showGridLines="0" topLeftCell="A11" zoomScaleNormal="100" workbookViewId="0">
      <selection activeCell="F27" sqref="F27"/>
    </sheetView>
  </sheetViews>
  <sheetFormatPr baseColWidth="10" defaultColWidth="12.42578125" defaultRowHeight="14.25" x14ac:dyDescent="0.25"/>
  <cols>
    <col min="1" max="1" width="44.42578125" style="1" bestFit="1" customWidth="1"/>
    <col min="2" max="2" width="13.28515625" style="8" customWidth="1"/>
    <col min="3" max="3" width="17.42578125" style="8" bestFit="1" customWidth="1"/>
    <col min="4" max="4" width="17.42578125" style="8" customWidth="1"/>
    <col min="5" max="5" width="19.140625" style="8" bestFit="1" customWidth="1"/>
    <col min="6" max="6" width="15.85546875" style="1" bestFit="1" customWidth="1"/>
    <col min="7" max="7" width="22.28515625" style="9" bestFit="1" customWidth="1"/>
    <col min="8" max="16384" width="12.42578125" style="1"/>
  </cols>
  <sheetData>
    <row r="2" spans="1:9" x14ac:dyDescent="0.25">
      <c r="A2" s="195" t="s">
        <v>41</v>
      </c>
      <c r="B2" s="195"/>
      <c r="C2" s="195"/>
      <c r="D2" s="195"/>
      <c r="E2" s="195"/>
      <c r="F2" s="195"/>
      <c r="G2" s="195"/>
    </row>
    <row r="3" spans="1:9" x14ac:dyDescent="0.25">
      <c r="A3" s="5" t="s">
        <v>1</v>
      </c>
      <c r="B3" s="6">
        <v>1100</v>
      </c>
      <c r="C3" s="11"/>
      <c r="D3" s="11"/>
      <c r="E3" s="11"/>
      <c r="F3" s="11"/>
      <c r="G3" s="12"/>
    </row>
    <row r="4" spans="1:9" ht="15" thickBot="1" x14ac:dyDescent="0.3">
      <c r="A4" s="11"/>
      <c r="B4" s="11"/>
      <c r="C4" s="11"/>
      <c r="D4" s="11"/>
      <c r="E4" s="11"/>
      <c r="F4" s="11"/>
      <c r="G4" s="12"/>
    </row>
    <row r="5" spans="1:9" ht="29.25" thickBot="1" x14ac:dyDescent="0.3">
      <c r="A5" s="32" t="s">
        <v>2</v>
      </c>
      <c r="B5" s="33" t="s">
        <v>3</v>
      </c>
      <c r="C5" s="33" t="s">
        <v>4</v>
      </c>
      <c r="D5" s="33" t="s">
        <v>42</v>
      </c>
      <c r="E5" s="33" t="s">
        <v>43</v>
      </c>
      <c r="F5" s="4" t="s">
        <v>44</v>
      </c>
      <c r="G5" s="13" t="s">
        <v>6</v>
      </c>
    </row>
    <row r="6" spans="1:9" s="7" customFormat="1" x14ac:dyDescent="0.25">
      <c r="A6" s="34" t="s">
        <v>45</v>
      </c>
      <c r="B6" s="35"/>
      <c r="C6" s="36"/>
      <c r="D6" s="36"/>
      <c r="E6" s="36"/>
      <c r="F6" s="37"/>
      <c r="G6" s="38">
        <f>SUM(G7:G13)</f>
        <v>351000000</v>
      </c>
    </row>
    <row r="7" spans="1:9" s="7" customFormat="1" x14ac:dyDescent="0.25">
      <c r="A7" s="39" t="s">
        <v>46</v>
      </c>
      <c r="B7" s="40" t="s">
        <v>47</v>
      </c>
      <c r="C7" s="41">
        <v>1</v>
      </c>
      <c r="D7" s="41" t="s">
        <v>48</v>
      </c>
      <c r="E7" s="42">
        <v>5</v>
      </c>
      <c r="F7" s="43">
        <v>5000000</v>
      </c>
      <c r="G7" s="44">
        <f t="shared" ref="G7:G13" si="0">ROUND(C7*E7*F7,0)</f>
        <v>25000000</v>
      </c>
    </row>
    <row r="8" spans="1:9" s="7" customFormat="1" ht="24.75" customHeight="1" x14ac:dyDescent="0.25">
      <c r="A8" s="39" t="s">
        <v>49</v>
      </c>
      <c r="B8" s="40" t="s">
        <v>47</v>
      </c>
      <c r="C8" s="41">
        <v>1</v>
      </c>
      <c r="D8" s="41" t="s">
        <v>48</v>
      </c>
      <c r="E8" s="42">
        <v>5</v>
      </c>
      <c r="F8" s="43">
        <v>3500000</v>
      </c>
      <c r="G8" s="44">
        <f t="shared" si="0"/>
        <v>17500000</v>
      </c>
    </row>
    <row r="9" spans="1:9" s="7" customFormat="1" x14ac:dyDescent="0.25">
      <c r="A9" s="39" t="s">
        <v>50</v>
      </c>
      <c r="B9" s="40" t="s">
        <v>47</v>
      </c>
      <c r="C9" s="41">
        <v>1</v>
      </c>
      <c r="D9" s="41" t="s">
        <v>48</v>
      </c>
      <c r="E9" s="42">
        <v>5</v>
      </c>
      <c r="F9" s="43">
        <v>3500000</v>
      </c>
      <c r="G9" s="44">
        <f t="shared" si="0"/>
        <v>17500000</v>
      </c>
    </row>
    <row r="10" spans="1:9" s="7" customFormat="1" x14ac:dyDescent="0.25">
      <c r="A10" s="39" t="s">
        <v>51</v>
      </c>
      <c r="B10" s="40" t="s">
        <v>47</v>
      </c>
      <c r="C10" s="41">
        <v>3</v>
      </c>
      <c r="D10" s="41" t="s">
        <v>48</v>
      </c>
      <c r="E10" s="42">
        <v>2</v>
      </c>
      <c r="F10" s="43">
        <v>3500000</v>
      </c>
      <c r="G10" s="44">
        <f t="shared" si="0"/>
        <v>21000000</v>
      </c>
    </row>
    <row r="11" spans="1:9" s="7" customFormat="1" x14ac:dyDescent="0.25">
      <c r="A11" s="39" t="s">
        <v>52</v>
      </c>
      <c r="B11" s="40" t="s">
        <v>47</v>
      </c>
      <c r="C11" s="41">
        <v>3</v>
      </c>
      <c r="D11" s="41" t="s">
        <v>48</v>
      </c>
      <c r="E11" s="42">
        <v>5</v>
      </c>
      <c r="F11" s="43">
        <v>3500000</v>
      </c>
      <c r="G11" s="44">
        <f t="shared" si="0"/>
        <v>52500000</v>
      </c>
    </row>
    <row r="12" spans="1:9" s="7" customFormat="1" x14ac:dyDescent="0.25">
      <c r="A12" s="39" t="s">
        <v>53</v>
      </c>
      <c r="B12" s="40" t="s">
        <v>47</v>
      </c>
      <c r="C12" s="41">
        <v>12</v>
      </c>
      <c r="D12" s="41" t="s">
        <v>48</v>
      </c>
      <c r="E12" s="42">
        <v>5</v>
      </c>
      <c r="F12" s="43">
        <v>3500000</v>
      </c>
      <c r="G12" s="44">
        <f t="shared" si="0"/>
        <v>210000000</v>
      </c>
    </row>
    <row r="13" spans="1:9" s="7" customFormat="1" x14ac:dyDescent="0.25">
      <c r="A13" s="39" t="s">
        <v>54</v>
      </c>
      <c r="B13" s="40" t="s">
        <v>47</v>
      </c>
      <c r="C13" s="41">
        <v>1</v>
      </c>
      <c r="D13" s="41" t="s">
        <v>48</v>
      </c>
      <c r="E13" s="42">
        <v>3</v>
      </c>
      <c r="F13" s="43">
        <v>2500000</v>
      </c>
      <c r="G13" s="44">
        <f t="shared" si="0"/>
        <v>7500000</v>
      </c>
    </row>
    <row r="14" spans="1:9" s="17" customFormat="1" x14ac:dyDescent="0.2">
      <c r="A14" s="34" t="s">
        <v>12</v>
      </c>
      <c r="B14" s="35"/>
      <c r="C14" s="36"/>
      <c r="D14" s="36"/>
      <c r="E14" s="36"/>
      <c r="F14" s="37"/>
      <c r="G14" s="38" t="e">
        <f>G15</f>
        <v>#REF!</v>
      </c>
    </row>
    <row r="15" spans="1:9" s="19" customFormat="1" x14ac:dyDescent="0.2">
      <c r="A15" s="45" t="s">
        <v>55</v>
      </c>
      <c r="B15" s="18" t="s">
        <v>11</v>
      </c>
      <c r="C15" s="46">
        <v>1</v>
      </c>
      <c r="D15" s="47"/>
      <c r="E15" s="47"/>
      <c r="F15" s="43" t="e">
        <f>#REF!</f>
        <v>#REF!</v>
      </c>
      <c r="G15" s="43" t="e">
        <f>F15</f>
        <v>#REF!</v>
      </c>
      <c r="H15" s="17"/>
      <c r="I15" s="17"/>
    </row>
    <row r="16" spans="1:9" s="7" customFormat="1" x14ac:dyDescent="0.25">
      <c r="A16" s="48" t="s">
        <v>56</v>
      </c>
      <c r="B16" s="49"/>
      <c r="C16" s="49"/>
      <c r="D16" s="49"/>
      <c r="E16" s="2"/>
      <c r="F16" s="50"/>
      <c r="G16" s="51" t="e">
        <f>SUM(G17:G19)</f>
        <v>#REF!</v>
      </c>
    </row>
    <row r="17" spans="1:10" s="7" customFormat="1" ht="28.5" x14ac:dyDescent="0.25">
      <c r="A17" s="39" t="s">
        <v>57</v>
      </c>
      <c r="B17" s="10" t="s">
        <v>11</v>
      </c>
      <c r="C17" s="52">
        <v>1</v>
      </c>
      <c r="D17" s="52" t="s">
        <v>58</v>
      </c>
      <c r="E17" s="52" t="s">
        <v>58</v>
      </c>
      <c r="F17" s="14">
        <f>1100*7000</f>
        <v>7700000</v>
      </c>
      <c r="G17" s="15">
        <f>ROUND(C17*F17,0)</f>
        <v>7700000</v>
      </c>
      <c r="J17" s="7">
        <f>1100*6000</f>
        <v>6600000</v>
      </c>
    </row>
    <row r="18" spans="1:10" s="7" customFormat="1" ht="28.5" x14ac:dyDescent="0.25">
      <c r="A18" s="39" t="s">
        <v>59</v>
      </c>
      <c r="B18" s="10" t="s">
        <v>11</v>
      </c>
      <c r="C18" s="53">
        <v>1</v>
      </c>
      <c r="D18" s="52" t="s">
        <v>58</v>
      </c>
      <c r="E18" s="52" t="s">
        <v>58</v>
      </c>
      <c r="F18" s="14" t="e">
        <f>SUM(#REF!)</f>
        <v>#REF!</v>
      </c>
      <c r="G18" s="15" t="e">
        <f>ROUND(C18*F18,0)</f>
        <v>#REF!</v>
      </c>
    </row>
    <row r="19" spans="1:10" s="7" customFormat="1" ht="28.5" x14ac:dyDescent="0.25">
      <c r="A19" s="39" t="s">
        <v>60</v>
      </c>
      <c r="B19" s="10" t="s">
        <v>11</v>
      </c>
      <c r="C19" s="53">
        <v>1</v>
      </c>
      <c r="D19" s="52" t="s">
        <v>58</v>
      </c>
      <c r="E19" s="52" t="s">
        <v>58</v>
      </c>
      <c r="F19" s="14" t="e">
        <f>SUM(#REF!)</f>
        <v>#REF!</v>
      </c>
      <c r="G19" s="15" t="e">
        <f>'PPTO DPS'!F19</f>
        <v>#REF!</v>
      </c>
    </row>
    <row r="20" spans="1:10" s="7" customFormat="1" x14ac:dyDescent="0.25">
      <c r="A20" s="48" t="s">
        <v>61</v>
      </c>
      <c r="B20" s="49"/>
      <c r="C20" s="49"/>
      <c r="D20" s="49"/>
      <c r="E20" s="2"/>
      <c r="F20" s="50"/>
      <c r="G20" s="51">
        <f>SUM(G21:G23)</f>
        <v>10600000</v>
      </c>
    </row>
    <row r="21" spans="1:10" s="7" customFormat="1" ht="28.5" x14ac:dyDescent="0.25">
      <c r="A21" s="39" t="s">
        <v>62</v>
      </c>
      <c r="B21" s="10" t="s">
        <v>17</v>
      </c>
      <c r="C21" s="53">
        <v>1</v>
      </c>
      <c r="D21" s="52" t="s">
        <v>58</v>
      </c>
      <c r="E21" s="52" t="s">
        <v>58</v>
      </c>
      <c r="F21" s="14">
        <v>4000000</v>
      </c>
      <c r="G21" s="15">
        <f>+F21*C21</f>
        <v>4000000</v>
      </c>
    </row>
    <row r="22" spans="1:10" s="7" customFormat="1" ht="28.5" x14ac:dyDescent="0.25">
      <c r="A22" s="39" t="s">
        <v>63</v>
      </c>
      <c r="B22" s="10" t="s">
        <v>17</v>
      </c>
      <c r="C22" s="53">
        <v>100</v>
      </c>
      <c r="D22" s="52" t="s">
        <v>58</v>
      </c>
      <c r="E22" s="52" t="s">
        <v>58</v>
      </c>
      <c r="F22" s="14">
        <v>50000</v>
      </c>
      <c r="G22" s="15">
        <f>+F22*C22</f>
        <v>5000000</v>
      </c>
    </row>
    <row r="23" spans="1:10" s="7" customFormat="1" x14ac:dyDescent="0.25">
      <c r="A23" s="39" t="s">
        <v>64</v>
      </c>
      <c r="B23" s="10" t="s">
        <v>17</v>
      </c>
      <c r="C23" s="53">
        <v>100</v>
      </c>
      <c r="D23" s="52" t="s">
        <v>58</v>
      </c>
      <c r="E23" s="52" t="s">
        <v>58</v>
      </c>
      <c r="F23" s="14">
        <v>16000</v>
      </c>
      <c r="G23" s="15">
        <f>+F23*C23</f>
        <v>1600000</v>
      </c>
    </row>
    <row r="24" spans="1:10" s="7" customFormat="1" x14ac:dyDescent="0.25">
      <c r="A24" s="54" t="s">
        <v>65</v>
      </c>
      <c r="B24" s="55"/>
      <c r="C24" s="55"/>
      <c r="D24" s="55"/>
      <c r="E24" s="56"/>
      <c r="F24" s="57"/>
      <c r="G24" s="58" t="e">
        <f>SUM(G25:G25)</f>
        <v>#REF!</v>
      </c>
    </row>
    <row r="25" spans="1:10" s="7" customFormat="1" ht="28.5" x14ac:dyDescent="0.25">
      <c r="A25" s="59" t="s">
        <v>66</v>
      </c>
      <c r="B25" s="10" t="s">
        <v>11</v>
      </c>
      <c r="C25" s="53">
        <v>1</v>
      </c>
      <c r="D25" s="52" t="s">
        <v>58</v>
      </c>
      <c r="E25" s="52" t="s">
        <v>58</v>
      </c>
      <c r="F25" s="60" t="e">
        <f>SUM(#REF!)</f>
        <v>#REF!</v>
      </c>
      <c r="G25" s="61" t="e">
        <f>+F25*C25</f>
        <v>#REF!</v>
      </c>
    </row>
    <row r="26" spans="1:10" s="7" customFormat="1" x14ac:dyDescent="0.25">
      <c r="A26" s="48" t="s">
        <v>67</v>
      </c>
      <c r="B26" s="49"/>
      <c r="C26" s="49"/>
      <c r="D26" s="49"/>
      <c r="E26" s="2"/>
      <c r="F26" s="50"/>
      <c r="G26" s="62">
        <f>SUM(G27:G27)</f>
        <v>8250000</v>
      </c>
    </row>
    <row r="27" spans="1:10" s="7" customFormat="1" ht="57" x14ac:dyDescent="0.25">
      <c r="A27" s="59" t="s">
        <v>68</v>
      </c>
      <c r="B27" s="10" t="s">
        <v>17</v>
      </c>
      <c r="C27" s="53">
        <v>1</v>
      </c>
      <c r="D27" s="52" t="s">
        <v>58</v>
      </c>
      <c r="E27" s="52" t="s">
        <v>58</v>
      </c>
      <c r="F27" s="14">
        <f>1100*7500</f>
        <v>8250000</v>
      </c>
      <c r="G27" s="15">
        <f>+C27*F27</f>
        <v>8250000</v>
      </c>
    </row>
    <row r="28" spans="1:10" s="7" customFormat="1" x14ac:dyDescent="0.25">
      <c r="A28" s="48" t="s">
        <v>69</v>
      </c>
      <c r="B28" s="49"/>
      <c r="C28" s="49"/>
      <c r="D28" s="49"/>
      <c r="E28" s="2"/>
      <c r="F28" s="50"/>
      <c r="G28" s="51">
        <f>SUM(G29:G29)</f>
        <v>1080000</v>
      </c>
    </row>
    <row r="29" spans="1:10" s="7" customFormat="1" x14ac:dyDescent="0.25">
      <c r="A29" s="59" t="s">
        <v>70</v>
      </c>
      <c r="B29" s="10" t="s">
        <v>17</v>
      </c>
      <c r="C29" s="63">
        <v>12</v>
      </c>
      <c r="D29" s="52" t="s">
        <v>58</v>
      </c>
      <c r="E29" s="52" t="s">
        <v>58</v>
      </c>
      <c r="F29" s="14">
        <v>90000</v>
      </c>
      <c r="G29" s="15">
        <f>ROUND(C29*F29,0)</f>
        <v>1080000</v>
      </c>
    </row>
    <row r="30" spans="1:10" s="7" customFormat="1" x14ac:dyDescent="0.25">
      <c r="A30" s="48" t="s">
        <v>71</v>
      </c>
      <c r="B30" s="64" t="s">
        <v>11</v>
      </c>
      <c r="C30" s="49"/>
      <c r="D30" s="49"/>
      <c r="E30" s="2"/>
      <c r="F30" s="50"/>
      <c r="G30" s="65">
        <f>SUM(G31:G31)</f>
        <v>2365000000</v>
      </c>
    </row>
    <row r="31" spans="1:10" s="7" customFormat="1" x14ac:dyDescent="0.25">
      <c r="A31" s="59" t="s">
        <v>72</v>
      </c>
      <c r="B31" s="10" t="s">
        <v>73</v>
      </c>
      <c r="C31" s="53">
        <v>1100</v>
      </c>
      <c r="D31" s="52" t="s">
        <v>58</v>
      </c>
      <c r="E31" s="52">
        <v>1</v>
      </c>
      <c r="F31" s="14">
        <v>2150000</v>
      </c>
      <c r="G31" s="44">
        <f>+F31*C31</f>
        <v>2365000000</v>
      </c>
    </row>
    <row r="32" spans="1:10" s="7" customFormat="1" x14ac:dyDescent="0.25">
      <c r="A32" s="48" t="s">
        <v>25</v>
      </c>
      <c r="B32" s="49"/>
      <c r="C32" s="49"/>
      <c r="D32" s="49"/>
      <c r="E32" s="2"/>
      <c r="F32" s="50"/>
      <c r="G32" s="65" t="e">
        <f>+G30+G16+G6+G24+G26+G28+G20+G14</f>
        <v>#REF!</v>
      </c>
    </row>
    <row r="33" spans="1:7" s="7" customFormat="1" x14ac:dyDescent="0.25">
      <c r="A33" s="48" t="s">
        <v>74</v>
      </c>
      <c r="B33" s="49"/>
      <c r="C33" s="49"/>
      <c r="D33" s="49"/>
      <c r="E33" s="2"/>
      <c r="F33" s="50"/>
      <c r="G33" s="65" t="e">
        <f>+G34</f>
        <v>#REF!</v>
      </c>
    </row>
    <row r="34" spans="1:7" ht="29.25" thickBot="1" x14ac:dyDescent="0.3">
      <c r="A34" s="59" t="s">
        <v>75</v>
      </c>
      <c r="B34" s="40" t="s">
        <v>11</v>
      </c>
      <c r="C34" s="66">
        <v>0.05</v>
      </c>
      <c r="D34" s="52" t="s">
        <v>58</v>
      </c>
      <c r="E34" s="67">
        <v>1</v>
      </c>
      <c r="F34" s="68" t="e">
        <f>+ROUND(G32*C34,0)</f>
        <v>#REF!</v>
      </c>
      <c r="G34" s="69" t="e">
        <f>ROUND(+F34,0)</f>
        <v>#REF!</v>
      </c>
    </row>
    <row r="35" spans="1:7" ht="15" thickBot="1" x14ac:dyDescent="0.3">
      <c r="A35" s="3"/>
      <c r="B35" s="196" t="s">
        <v>28</v>
      </c>
      <c r="C35" s="197"/>
      <c r="D35" s="197"/>
      <c r="E35" s="197"/>
      <c r="F35" s="198"/>
      <c r="G35" s="70" t="e">
        <f>+G32+G33</f>
        <v>#REF!</v>
      </c>
    </row>
    <row r="39" spans="1:7" x14ac:dyDescent="0.25">
      <c r="G39" s="71"/>
    </row>
  </sheetData>
  <mergeCells count="2">
    <mergeCell ref="A2:G2"/>
    <mergeCell ref="B35:F3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3D58A-9050-40F9-AFCD-8EA862A0ED5D}">
  <dimension ref="B2:V69"/>
  <sheetViews>
    <sheetView showGridLines="0" topLeftCell="A15" zoomScale="85" zoomScaleNormal="85" workbookViewId="0">
      <selection activeCell="G37" sqref="G37"/>
    </sheetView>
  </sheetViews>
  <sheetFormatPr baseColWidth="10" defaultColWidth="11.42578125" defaultRowHeight="15" x14ac:dyDescent="0.25"/>
  <cols>
    <col min="1" max="1" width="5.85546875" style="170" customWidth="1"/>
    <col min="2" max="2" width="45.85546875" style="170" customWidth="1"/>
    <col min="3" max="3" width="12.7109375" style="170" customWidth="1"/>
    <col min="4" max="4" width="18.7109375" style="170" customWidth="1"/>
    <col min="5" max="6" width="15.140625" style="16" bestFit="1" customWidth="1"/>
    <col min="7" max="7" width="17.85546875" style="170" bestFit="1" customWidth="1"/>
    <col min="8" max="8" width="15.140625" style="170" bestFit="1" customWidth="1"/>
    <col min="9" max="9" width="5.7109375" style="170" customWidth="1"/>
    <col min="10" max="10" width="42.85546875" style="170" customWidth="1"/>
    <col min="11" max="11" width="19.140625" style="170" bestFit="1" customWidth="1"/>
    <col min="12" max="12" width="20.28515625" style="170" bestFit="1" customWidth="1"/>
    <col min="13" max="13" width="20" style="170" customWidth="1"/>
    <col min="14" max="14" width="15.85546875" style="170" bestFit="1" customWidth="1"/>
    <col min="15" max="15" width="15.28515625" style="170" bestFit="1" customWidth="1"/>
    <col min="16" max="16" width="11.42578125" style="170" bestFit="1" customWidth="1"/>
    <col min="17" max="17" width="11.42578125" style="170"/>
    <col min="18" max="18" width="19" style="170" bestFit="1" customWidth="1"/>
    <col min="19" max="16384" width="11.42578125" style="170"/>
  </cols>
  <sheetData>
    <row r="2" spans="2:22" x14ac:dyDescent="0.25">
      <c r="J2" s="210" t="s">
        <v>163</v>
      </c>
      <c r="K2" s="211"/>
      <c r="L2" s="211"/>
      <c r="M2" s="211"/>
      <c r="N2" s="211"/>
      <c r="O2" s="212"/>
    </row>
    <row r="3" spans="2:22" x14ac:dyDescent="0.25">
      <c r="J3" s="213"/>
      <c r="K3" s="214"/>
      <c r="L3" s="214"/>
      <c r="M3" s="214"/>
      <c r="N3" s="214"/>
      <c r="O3" s="215"/>
    </row>
    <row r="4" spans="2:22" x14ac:dyDescent="0.25">
      <c r="J4" s="213"/>
      <c r="K4" s="214"/>
      <c r="L4" s="214"/>
      <c r="M4" s="214"/>
      <c r="N4" s="214"/>
      <c r="O4" s="215"/>
    </row>
    <row r="5" spans="2:22" x14ac:dyDescent="0.25">
      <c r="J5" s="216"/>
      <c r="K5" s="217"/>
      <c r="L5" s="217"/>
      <c r="M5" s="217"/>
      <c r="N5" s="217"/>
      <c r="O5" s="218"/>
    </row>
    <row r="7" spans="2:22" ht="15" customHeight="1" x14ac:dyDescent="0.25">
      <c r="B7" s="222" t="s">
        <v>76</v>
      </c>
      <c r="C7" s="222"/>
      <c r="D7" s="222"/>
      <c r="E7" s="222"/>
      <c r="F7" s="222"/>
      <c r="G7" s="222"/>
      <c r="H7" s="85"/>
      <c r="J7" s="207" t="s">
        <v>77</v>
      </c>
      <c r="K7" s="208"/>
      <c r="L7" s="208"/>
      <c r="M7" s="208"/>
      <c r="N7" s="208"/>
      <c r="O7" s="209"/>
      <c r="R7" s="86"/>
      <c r="S7" s="87"/>
      <c r="T7" s="87"/>
      <c r="U7" s="87"/>
      <c r="V7" s="87"/>
    </row>
    <row r="8" spans="2:22" s="24" customFormat="1" ht="27" customHeight="1" x14ac:dyDescent="0.25">
      <c r="B8" s="89" t="s">
        <v>2</v>
      </c>
      <c r="C8" s="88" t="s">
        <v>3</v>
      </c>
      <c r="D8" s="88" t="s">
        <v>4</v>
      </c>
      <c r="E8" s="88" t="s">
        <v>78</v>
      </c>
      <c r="F8" s="89" t="s">
        <v>5</v>
      </c>
      <c r="G8" s="89" t="s">
        <v>6</v>
      </c>
      <c r="J8" s="90" t="s">
        <v>2</v>
      </c>
      <c r="K8" s="81" t="s">
        <v>3</v>
      </c>
      <c r="L8" s="98" t="s">
        <v>160</v>
      </c>
      <c r="M8" s="98" t="s">
        <v>161</v>
      </c>
      <c r="N8" s="91" t="s">
        <v>44</v>
      </c>
      <c r="O8" s="91" t="s">
        <v>79</v>
      </c>
      <c r="P8" s="170"/>
      <c r="Q8" s="170"/>
      <c r="R8" s="20"/>
      <c r="S8" s="86"/>
      <c r="T8" s="86"/>
    </row>
    <row r="9" spans="2:22" x14ac:dyDescent="0.25">
      <c r="B9" s="171" t="s">
        <v>46</v>
      </c>
      <c r="C9" s="92" t="s">
        <v>47</v>
      </c>
      <c r="D9" s="93">
        <v>1</v>
      </c>
      <c r="E9" s="94">
        <v>4</v>
      </c>
      <c r="F9" s="95">
        <v>5000000</v>
      </c>
      <c r="G9" s="95">
        <f t="shared" ref="G9:G15" si="0">F9*E9*D9</f>
        <v>20000000</v>
      </c>
      <c r="J9" s="172" t="s">
        <v>80</v>
      </c>
      <c r="K9" s="172" t="s">
        <v>47</v>
      </c>
      <c r="L9" s="172">
        <v>160</v>
      </c>
      <c r="M9" s="186">
        <v>324</v>
      </c>
      <c r="N9" s="180">
        <v>80000</v>
      </c>
      <c r="O9" s="156">
        <f>+N9*M9</f>
        <v>25920000</v>
      </c>
      <c r="S9" s="20"/>
      <c r="T9" s="20"/>
    </row>
    <row r="10" spans="2:22" x14ac:dyDescent="0.25">
      <c r="B10" s="171" t="s">
        <v>81</v>
      </c>
      <c r="C10" s="92" t="s">
        <v>47</v>
      </c>
      <c r="D10" s="93">
        <v>1</v>
      </c>
      <c r="E10" s="94">
        <v>4</v>
      </c>
      <c r="F10" s="95">
        <v>4000000</v>
      </c>
      <c r="G10" s="95">
        <f t="shared" si="0"/>
        <v>16000000</v>
      </c>
      <c r="J10" s="172" t="s">
        <v>82</v>
      </c>
      <c r="K10" s="172" t="s">
        <v>47</v>
      </c>
      <c r="L10" s="172">
        <v>160</v>
      </c>
      <c r="M10" s="186">
        <v>324</v>
      </c>
      <c r="N10" s="180">
        <v>80000</v>
      </c>
      <c r="O10" s="156">
        <f>+N10*M10</f>
        <v>25920000</v>
      </c>
      <c r="R10" s="20"/>
      <c r="S10" s="20"/>
      <c r="T10" s="20"/>
    </row>
    <row r="11" spans="2:22" x14ac:dyDescent="0.25">
      <c r="B11" s="171" t="s">
        <v>83</v>
      </c>
      <c r="C11" s="92" t="s">
        <v>47</v>
      </c>
      <c r="D11" s="93">
        <v>2</v>
      </c>
      <c r="E11" s="94">
        <v>4</v>
      </c>
      <c r="F11" s="95">
        <v>2800000</v>
      </c>
      <c r="G11" s="95">
        <f t="shared" si="0"/>
        <v>22400000</v>
      </c>
      <c r="J11" s="172" t="s">
        <v>84</v>
      </c>
      <c r="K11" s="172" t="s">
        <v>47</v>
      </c>
      <c r="L11" s="172">
        <v>160</v>
      </c>
      <c r="M11" s="186">
        <v>160</v>
      </c>
      <c r="N11" s="180">
        <v>80000</v>
      </c>
      <c r="O11" s="156">
        <f>+N11*M11</f>
        <v>12800000</v>
      </c>
    </row>
    <row r="12" spans="2:22" x14ac:dyDescent="0.25">
      <c r="B12" s="171" t="s">
        <v>85</v>
      </c>
      <c r="C12" s="92" t="s">
        <v>47</v>
      </c>
      <c r="D12" s="93">
        <v>4</v>
      </c>
      <c r="E12" s="94">
        <v>4</v>
      </c>
      <c r="F12" s="95">
        <v>4200000</v>
      </c>
      <c r="G12" s="95">
        <f t="shared" si="0"/>
        <v>67200000</v>
      </c>
      <c r="J12" s="172" t="s">
        <v>86</v>
      </c>
      <c r="K12" s="172" t="s">
        <v>47</v>
      </c>
      <c r="L12" s="172">
        <v>160</v>
      </c>
      <c r="M12" s="186">
        <v>160</v>
      </c>
      <c r="N12" s="180">
        <v>80000</v>
      </c>
      <c r="O12" s="156">
        <f>+N12*M12</f>
        <v>12800000</v>
      </c>
    </row>
    <row r="13" spans="2:22" x14ac:dyDescent="0.25">
      <c r="B13" s="171" t="s">
        <v>87</v>
      </c>
      <c r="C13" s="92" t="s">
        <v>47</v>
      </c>
      <c r="D13" s="93">
        <v>3</v>
      </c>
      <c r="E13" s="94">
        <v>4</v>
      </c>
      <c r="F13" s="95">
        <v>4800000</v>
      </c>
      <c r="G13" s="95">
        <f t="shared" si="0"/>
        <v>57600000</v>
      </c>
      <c r="J13" s="183" t="s">
        <v>88</v>
      </c>
      <c r="K13" s="184"/>
      <c r="L13" s="185"/>
      <c r="M13" s="101"/>
      <c r="N13" s="101">
        <f>SUM(N9:N12)</f>
        <v>320000</v>
      </c>
      <c r="O13" s="101">
        <f>SUM(O9:O12)</f>
        <v>77440000</v>
      </c>
    </row>
    <row r="14" spans="2:22" x14ac:dyDescent="0.25">
      <c r="B14" s="171" t="s">
        <v>89</v>
      </c>
      <c r="C14" s="92" t="s">
        <v>47</v>
      </c>
      <c r="D14" s="93">
        <v>3</v>
      </c>
      <c r="E14" s="94">
        <v>1</v>
      </c>
      <c r="F14" s="95">
        <v>3200000</v>
      </c>
      <c r="G14" s="95">
        <f t="shared" si="0"/>
        <v>9600000</v>
      </c>
      <c r="O14" s="23"/>
    </row>
    <row r="15" spans="2:22" x14ac:dyDescent="0.25">
      <c r="B15" s="171" t="s">
        <v>169</v>
      </c>
      <c r="C15" s="92" t="s">
        <v>47</v>
      </c>
      <c r="D15" s="93">
        <v>1</v>
      </c>
      <c r="E15" s="94">
        <v>1</v>
      </c>
      <c r="F15" s="95">
        <v>2000000</v>
      </c>
      <c r="G15" s="95">
        <f t="shared" si="0"/>
        <v>2000000</v>
      </c>
      <c r="O15" s="23"/>
    </row>
    <row r="16" spans="2:22" ht="15.75" customHeight="1" x14ac:dyDescent="0.25">
      <c r="B16" s="200" t="s">
        <v>90</v>
      </c>
      <c r="C16" s="200"/>
      <c r="D16" s="200"/>
      <c r="E16" s="200"/>
      <c r="F16" s="101">
        <f>SUM(F9:F15)</f>
        <v>26000000</v>
      </c>
      <c r="G16" s="102">
        <f>SUM(G9:G15)</f>
        <v>194800000</v>
      </c>
      <c r="J16" s="226" t="s">
        <v>91</v>
      </c>
      <c r="K16" s="227"/>
      <c r="L16" s="227"/>
      <c r="M16" s="227"/>
      <c r="N16" s="227"/>
      <c r="O16" s="227"/>
      <c r="P16" s="228"/>
    </row>
    <row r="17" spans="2:17" ht="30" x14ac:dyDescent="0.25">
      <c r="B17" s="83"/>
      <c r="C17" s="83"/>
      <c r="D17" s="83"/>
      <c r="E17" s="83"/>
      <c r="F17" s="82"/>
      <c r="G17" s="84"/>
      <c r="J17" s="98" t="s">
        <v>2</v>
      </c>
      <c r="K17" s="98" t="s">
        <v>3</v>
      </c>
      <c r="L17" s="98" t="s">
        <v>160</v>
      </c>
      <c r="M17" s="98" t="s">
        <v>162</v>
      </c>
      <c r="N17" s="98" t="s">
        <v>93</v>
      </c>
      <c r="O17" s="98" t="s">
        <v>94</v>
      </c>
      <c r="P17" s="98" t="s">
        <v>79</v>
      </c>
    </row>
    <row r="18" spans="2:17" x14ac:dyDescent="0.25">
      <c r="B18" s="83"/>
      <c r="C18" s="83"/>
      <c r="D18" s="83"/>
      <c r="E18" s="83"/>
      <c r="F18" s="82"/>
      <c r="G18" s="84"/>
      <c r="J18" s="21" t="s">
        <v>95</v>
      </c>
      <c r="K18" s="21" t="s">
        <v>17</v>
      </c>
      <c r="L18" s="21">
        <v>160</v>
      </c>
      <c r="M18" s="186">
        <v>324</v>
      </c>
      <c r="N18" s="77">
        <v>15000</v>
      </c>
      <c r="O18" s="77">
        <v>30000</v>
      </c>
      <c r="P18" s="77">
        <f>+(N18+O18)*M18</f>
        <v>14580000</v>
      </c>
    </row>
    <row r="19" spans="2:17" x14ac:dyDescent="0.25">
      <c r="B19" s="225" t="s">
        <v>96</v>
      </c>
      <c r="C19" s="225"/>
      <c r="D19" s="225"/>
      <c r="E19" s="225"/>
      <c r="F19" s="225"/>
      <c r="G19" s="225"/>
      <c r="J19" s="21" t="s">
        <v>97</v>
      </c>
      <c r="K19" s="21" t="s">
        <v>17</v>
      </c>
      <c r="L19" s="21">
        <v>160</v>
      </c>
      <c r="M19" s="186">
        <v>324</v>
      </c>
      <c r="N19" s="77">
        <v>15000</v>
      </c>
      <c r="O19" s="77">
        <v>30000</v>
      </c>
      <c r="P19" s="77">
        <f>+(N19+O19)*M19</f>
        <v>14580000</v>
      </c>
    </row>
    <row r="20" spans="2:17" x14ac:dyDescent="0.25">
      <c r="B20" s="182" t="s">
        <v>98</v>
      </c>
      <c r="C20" s="182" t="s">
        <v>4</v>
      </c>
      <c r="D20" s="182" t="s">
        <v>99</v>
      </c>
      <c r="E20" s="182" t="s">
        <v>100</v>
      </c>
      <c r="F20" s="182" t="s">
        <v>44</v>
      </c>
      <c r="G20" s="182" t="s">
        <v>101</v>
      </c>
      <c r="J20" s="21" t="s">
        <v>102</v>
      </c>
      <c r="K20" s="21" t="s">
        <v>17</v>
      </c>
      <c r="L20" s="21">
        <v>160</v>
      </c>
      <c r="M20" s="186">
        <v>160</v>
      </c>
      <c r="N20" s="77">
        <v>15000</v>
      </c>
      <c r="O20" s="77">
        <v>0</v>
      </c>
      <c r="P20" s="77">
        <f>N20*M20</f>
        <v>2400000</v>
      </c>
    </row>
    <row r="21" spans="2:17" x14ac:dyDescent="0.25">
      <c r="B21" s="173" t="s">
        <v>103</v>
      </c>
      <c r="C21" s="174">
        <v>25</v>
      </c>
      <c r="D21" s="79">
        <v>12605</v>
      </c>
      <c r="E21" s="79">
        <f>ROUND(D21*19%,0)</f>
        <v>2395</v>
      </c>
      <c r="F21" s="79">
        <f>D21+E21</f>
        <v>15000</v>
      </c>
      <c r="G21" s="79">
        <f>+F21*C21</f>
        <v>375000</v>
      </c>
      <c r="J21" s="21" t="s">
        <v>104</v>
      </c>
      <c r="K21" s="21" t="s">
        <v>17</v>
      </c>
      <c r="L21" s="21">
        <v>160</v>
      </c>
      <c r="M21" s="186">
        <v>160</v>
      </c>
      <c r="N21" s="77">
        <v>15000</v>
      </c>
      <c r="O21" s="77">
        <v>0</v>
      </c>
      <c r="P21" s="77">
        <f>N21*M21</f>
        <v>2400000</v>
      </c>
    </row>
    <row r="22" spans="2:17" x14ac:dyDescent="0.25">
      <c r="B22" s="173" t="s">
        <v>105</v>
      </c>
      <c r="C22" s="174">
        <v>25</v>
      </c>
      <c r="D22" s="79">
        <v>25210</v>
      </c>
      <c r="E22" s="79">
        <f>ROUND(D22*19%,0)</f>
        <v>4790</v>
      </c>
      <c r="F22" s="79">
        <f t="shared" ref="F22:F25" si="1">D22+E22</f>
        <v>30000</v>
      </c>
      <c r="G22" s="79">
        <f>+F22*C22</f>
        <v>750000</v>
      </c>
      <c r="J22" s="219" t="s">
        <v>90</v>
      </c>
      <c r="K22" s="220"/>
      <c r="L22" s="220"/>
      <c r="M22" s="221"/>
      <c r="N22" s="177">
        <f>SUM(N18:N21)</f>
        <v>60000</v>
      </c>
      <c r="O22" s="178">
        <f>SUM(O18:O21)</f>
        <v>60000</v>
      </c>
      <c r="P22" s="78">
        <f>SUM(P18:P21)</f>
        <v>33960000</v>
      </c>
    </row>
    <row r="23" spans="2:17" x14ac:dyDescent="0.25">
      <c r="B23" s="173" t="s">
        <v>106</v>
      </c>
      <c r="C23" s="174">
        <v>2</v>
      </c>
      <c r="D23" s="79">
        <v>504202</v>
      </c>
      <c r="E23" s="79">
        <f>ROUND(D23*19%,0)</f>
        <v>95798</v>
      </c>
      <c r="F23" s="79">
        <f t="shared" si="1"/>
        <v>600000</v>
      </c>
      <c r="G23" s="79">
        <f>+F23*C23</f>
        <v>1200000</v>
      </c>
      <c r="J23" s="22"/>
      <c r="K23" s="22"/>
      <c r="L23" s="22"/>
      <c r="M23" s="22"/>
      <c r="N23" s="22"/>
      <c r="O23" s="157"/>
    </row>
    <row r="24" spans="2:17" x14ac:dyDescent="0.25">
      <c r="B24" s="173" t="s">
        <v>107</v>
      </c>
      <c r="C24" s="174">
        <v>25</v>
      </c>
      <c r="D24" s="79">
        <v>7563</v>
      </c>
      <c r="E24" s="79">
        <f>ROUND(D24*19%,0)</f>
        <v>1437</v>
      </c>
      <c r="F24" s="79">
        <f t="shared" si="1"/>
        <v>9000</v>
      </c>
      <c r="G24" s="79">
        <f>+F24*C24</f>
        <v>225000</v>
      </c>
      <c r="J24" s="22"/>
      <c r="K24" s="22"/>
      <c r="L24" s="22"/>
      <c r="M24" s="22"/>
      <c r="N24" s="22"/>
      <c r="O24" s="157"/>
    </row>
    <row r="25" spans="2:17" x14ac:dyDescent="0.25">
      <c r="B25" s="173" t="s">
        <v>108</v>
      </c>
      <c r="C25" s="174">
        <v>25</v>
      </c>
      <c r="D25" s="79">
        <v>1555</v>
      </c>
      <c r="E25" s="79">
        <f t="shared" ref="E25" si="2">ROUND(D25*19%,0)</f>
        <v>295</v>
      </c>
      <c r="F25" s="79">
        <f t="shared" si="1"/>
        <v>1850</v>
      </c>
      <c r="G25" s="79">
        <f>+F25*C25</f>
        <v>46250</v>
      </c>
      <c r="J25" s="207" t="s">
        <v>153</v>
      </c>
      <c r="K25" s="208"/>
      <c r="L25" s="208"/>
      <c r="M25" s="208"/>
      <c r="N25" s="209"/>
      <c r="O25" s="157"/>
    </row>
    <row r="26" spans="2:17" x14ac:dyDescent="0.25">
      <c r="B26" s="223" t="s">
        <v>88</v>
      </c>
      <c r="C26" s="223"/>
      <c r="D26" s="223"/>
      <c r="E26" s="223"/>
      <c r="F26" s="223"/>
      <c r="G26" s="80">
        <f>SUM(G21:G25)</f>
        <v>2596250</v>
      </c>
      <c r="J26" s="81" t="s">
        <v>3</v>
      </c>
      <c r="K26" s="81" t="s">
        <v>3</v>
      </c>
      <c r="L26" s="81" t="s">
        <v>4</v>
      </c>
      <c r="M26" s="91" t="s">
        <v>44</v>
      </c>
      <c r="N26" s="91" t="s">
        <v>79</v>
      </c>
      <c r="O26" s="157"/>
    </row>
    <row r="27" spans="2:17" ht="15" customHeight="1" x14ac:dyDescent="0.25">
      <c r="B27" s="224" t="s">
        <v>109</v>
      </c>
      <c r="C27" s="224"/>
      <c r="D27" s="224"/>
      <c r="E27" s="224"/>
      <c r="F27" s="224"/>
      <c r="G27" s="224"/>
      <c r="J27" s="172" t="s">
        <v>110</v>
      </c>
      <c r="K27" s="172" t="s">
        <v>47</v>
      </c>
      <c r="L27" s="172">
        <v>10</v>
      </c>
      <c r="M27" s="75">
        <v>70000</v>
      </c>
      <c r="N27" s="75">
        <f>+L27*M27</f>
        <v>700000</v>
      </c>
      <c r="O27" s="23"/>
    </row>
    <row r="28" spans="2:17" s="175" customFormat="1" ht="15" customHeight="1" x14ac:dyDescent="0.25">
      <c r="B28" s="224" t="s">
        <v>111</v>
      </c>
      <c r="C28" s="224"/>
      <c r="D28" s="224"/>
      <c r="E28" s="224"/>
      <c r="F28" s="224"/>
      <c r="G28" s="224"/>
      <c r="J28" s="172" t="s">
        <v>112</v>
      </c>
      <c r="K28" s="172" t="s">
        <v>47</v>
      </c>
      <c r="L28" s="172">
        <v>10</v>
      </c>
      <c r="M28" s="75">
        <v>20000</v>
      </c>
      <c r="N28" s="75">
        <f>+L28*M28</f>
        <v>200000</v>
      </c>
      <c r="O28" s="23"/>
      <c r="P28" s="170"/>
      <c r="Q28" s="170"/>
    </row>
    <row r="29" spans="2:17" x14ac:dyDescent="0.25">
      <c r="B29" s="176"/>
      <c r="C29" s="176"/>
      <c r="D29" s="176"/>
      <c r="E29" s="176"/>
      <c r="F29" s="176"/>
      <c r="G29" s="176"/>
      <c r="J29" s="204" t="s">
        <v>88</v>
      </c>
      <c r="K29" s="205"/>
      <c r="L29" s="206"/>
      <c r="M29" s="76">
        <v>90000</v>
      </c>
      <c r="N29" s="76">
        <f>SUM(N27:N28)</f>
        <v>900000</v>
      </c>
      <c r="O29" s="96"/>
    </row>
    <row r="30" spans="2:17" x14ac:dyDescent="0.25">
      <c r="B30" s="176"/>
      <c r="C30" s="176"/>
      <c r="D30" s="176"/>
      <c r="E30" s="176"/>
      <c r="F30" s="176"/>
      <c r="G30" s="176"/>
      <c r="O30" s="97"/>
    </row>
    <row r="31" spans="2:17" x14ac:dyDescent="0.25">
      <c r="B31" s="201" t="s">
        <v>113</v>
      </c>
      <c r="C31" s="202"/>
      <c r="D31" s="202"/>
      <c r="E31" s="203"/>
      <c r="J31" s="24"/>
      <c r="K31" s="24"/>
      <c r="L31" s="24"/>
      <c r="M31" s="24"/>
      <c r="N31" s="160"/>
      <c r="O31" s="160"/>
    </row>
    <row r="32" spans="2:17" ht="15.75" x14ac:dyDescent="0.25">
      <c r="B32" s="90" t="s">
        <v>2</v>
      </c>
      <c r="C32" s="88" t="s">
        <v>115</v>
      </c>
      <c r="D32" s="88" t="s">
        <v>116</v>
      </c>
      <c r="E32" s="88" t="s">
        <v>117</v>
      </c>
      <c r="J32" s="226" t="s">
        <v>114</v>
      </c>
      <c r="K32" s="227"/>
      <c r="L32" s="227"/>
      <c r="M32" s="227"/>
      <c r="N32" s="227"/>
      <c r="O32" s="228"/>
    </row>
    <row r="33" spans="2:16" ht="30" x14ac:dyDescent="0.25">
      <c r="B33" s="21" t="s">
        <v>95</v>
      </c>
      <c r="C33" s="172"/>
      <c r="D33" s="172"/>
      <c r="E33" s="172">
        <v>1</v>
      </c>
      <c r="J33" s="98" t="s">
        <v>2</v>
      </c>
      <c r="K33" s="98" t="s">
        <v>3</v>
      </c>
      <c r="L33" s="98" t="s">
        <v>160</v>
      </c>
      <c r="M33" s="98" t="s">
        <v>162</v>
      </c>
      <c r="N33" s="91" t="s">
        <v>44</v>
      </c>
      <c r="O33" s="98" t="s">
        <v>79</v>
      </c>
    </row>
    <row r="34" spans="2:16" x14ac:dyDescent="0.25">
      <c r="B34" s="21" t="s">
        <v>97</v>
      </c>
      <c r="C34" s="172">
        <v>1</v>
      </c>
      <c r="D34" s="172"/>
      <c r="E34" s="172">
        <v>1</v>
      </c>
      <c r="I34" s="158"/>
      <c r="J34" s="21" t="s">
        <v>165</v>
      </c>
      <c r="K34" s="21" t="s">
        <v>17</v>
      </c>
      <c r="L34" s="21">
        <v>160</v>
      </c>
      <c r="M34" s="186">
        <v>324</v>
      </c>
      <c r="N34" s="77">
        <v>80000</v>
      </c>
      <c r="O34" s="77">
        <f>N34*M34</f>
        <v>25920000</v>
      </c>
    </row>
    <row r="35" spans="2:16" x14ac:dyDescent="0.25">
      <c r="B35" s="21" t="s">
        <v>118</v>
      </c>
      <c r="C35" s="172">
        <v>1</v>
      </c>
      <c r="D35" s="172"/>
      <c r="E35" s="172">
        <v>1</v>
      </c>
      <c r="I35" s="159"/>
      <c r="J35" s="21" t="s">
        <v>166</v>
      </c>
      <c r="K35" s="21" t="s">
        <v>17</v>
      </c>
      <c r="L35" s="21">
        <v>160</v>
      </c>
      <c r="M35" s="186">
        <v>324</v>
      </c>
      <c r="N35" s="77">
        <v>15000</v>
      </c>
      <c r="O35" s="77">
        <f>N35*M35</f>
        <v>4860000</v>
      </c>
    </row>
    <row r="36" spans="2:16" x14ac:dyDescent="0.25">
      <c r="B36" s="21" t="s">
        <v>119</v>
      </c>
      <c r="C36" s="172">
        <v>1</v>
      </c>
      <c r="D36" s="172"/>
      <c r="E36" s="172">
        <v>1</v>
      </c>
      <c r="I36" s="161"/>
      <c r="J36" s="219" t="s">
        <v>90</v>
      </c>
      <c r="K36" s="220"/>
      <c r="L36" s="220"/>
      <c r="M36" s="221"/>
      <c r="N36" s="177">
        <f>SUM(N34:N35)</f>
        <v>95000</v>
      </c>
      <c r="O36" s="78">
        <f>SUM(O34:O35)</f>
        <v>30780000</v>
      </c>
    </row>
    <row r="37" spans="2:16" x14ac:dyDescent="0.25">
      <c r="B37" s="21" t="s">
        <v>104</v>
      </c>
      <c r="C37" s="172">
        <v>1</v>
      </c>
      <c r="D37" s="172">
        <v>1</v>
      </c>
      <c r="E37" s="172">
        <v>1</v>
      </c>
      <c r="I37" s="161"/>
      <c r="J37" s="83"/>
      <c r="K37" s="83"/>
      <c r="L37" s="83"/>
      <c r="M37" s="83"/>
      <c r="N37" s="83"/>
      <c r="O37" s="162"/>
    </row>
    <row r="38" spans="2:16" x14ac:dyDescent="0.25">
      <c r="B38" s="21" t="s">
        <v>120</v>
      </c>
      <c r="C38" s="172"/>
      <c r="D38" s="172">
        <v>6</v>
      </c>
      <c r="E38" s="172"/>
      <c r="I38" s="161"/>
      <c r="J38" s="83"/>
      <c r="K38" s="83"/>
      <c r="L38" s="83"/>
      <c r="M38" s="83"/>
      <c r="N38" s="83"/>
      <c r="O38" s="162"/>
    </row>
    <row r="39" spans="2:16" x14ac:dyDescent="0.25">
      <c r="B39" s="21" t="s">
        <v>121</v>
      </c>
      <c r="C39" s="172"/>
      <c r="D39" s="172">
        <v>1</v>
      </c>
      <c r="E39" s="172">
        <v>1</v>
      </c>
      <c r="I39" s="161"/>
      <c r="J39" s="83"/>
      <c r="K39" s="83"/>
      <c r="L39" s="83"/>
      <c r="M39" s="83"/>
      <c r="N39" s="83"/>
      <c r="O39" s="162"/>
    </row>
    <row r="40" spans="2:16" x14ac:dyDescent="0.25">
      <c r="B40" s="166" t="s">
        <v>90</v>
      </c>
      <c r="C40" s="25">
        <f>SUM(C33:C39)</f>
        <v>4</v>
      </c>
      <c r="D40" s="25">
        <f>SUM(D33:D39)</f>
        <v>8</v>
      </c>
      <c r="E40" s="25">
        <f>SUM(E33:E39)</f>
        <v>6</v>
      </c>
      <c r="F40" s="176"/>
      <c r="J40" s="83"/>
      <c r="K40" s="83"/>
      <c r="L40" s="83"/>
      <c r="M40" s="83"/>
      <c r="N40" s="83"/>
      <c r="O40" s="162"/>
    </row>
    <row r="41" spans="2:16" x14ac:dyDescent="0.25">
      <c r="B41"/>
      <c r="C41"/>
      <c r="D41"/>
      <c r="E41"/>
      <c r="F41" s="176"/>
      <c r="J41" s="83"/>
      <c r="K41" s="83"/>
      <c r="L41" s="83"/>
      <c r="M41" s="83"/>
      <c r="N41" s="83"/>
      <c r="O41" s="162"/>
    </row>
    <row r="42" spans="2:16" customFormat="1" x14ac:dyDescent="0.25">
      <c r="J42" s="83"/>
      <c r="K42" s="83"/>
      <c r="L42" s="83"/>
      <c r="M42" s="83"/>
      <c r="N42" s="83"/>
      <c r="O42" s="162"/>
      <c r="P42" s="170"/>
    </row>
    <row r="43" spans="2:16" x14ac:dyDescent="0.25">
      <c r="B43" s="201" t="s">
        <v>122</v>
      </c>
      <c r="C43" s="202"/>
      <c r="D43" s="202"/>
      <c r="E43" s="202"/>
      <c r="F43" s="202"/>
      <c r="G43" s="203"/>
      <c r="J43" s="22"/>
      <c r="K43" s="22"/>
      <c r="L43" s="22"/>
      <c r="M43" s="22"/>
      <c r="N43" s="22"/>
      <c r="O43" s="23"/>
    </row>
    <row r="44" spans="2:16" ht="30" x14ac:dyDescent="0.25">
      <c r="B44" s="90" t="s">
        <v>2</v>
      </c>
      <c r="C44" s="81" t="s">
        <v>3</v>
      </c>
      <c r="D44" s="81" t="s">
        <v>123</v>
      </c>
      <c r="E44" s="81" t="s">
        <v>124</v>
      </c>
      <c r="F44" s="91" t="s">
        <v>44</v>
      </c>
      <c r="G44" s="91" t="s">
        <v>79</v>
      </c>
      <c r="J44" s="22"/>
      <c r="K44" s="22"/>
      <c r="L44" s="22"/>
      <c r="M44" s="22"/>
      <c r="N44" s="22"/>
      <c r="O44" s="23"/>
    </row>
    <row r="45" spans="2:16" x14ac:dyDescent="0.25">
      <c r="B45" s="163" t="s">
        <v>125</v>
      </c>
      <c r="C45" s="73" t="s">
        <v>17</v>
      </c>
      <c r="D45" s="73">
        <f>C40</f>
        <v>4</v>
      </c>
      <c r="E45" s="73">
        <v>3</v>
      </c>
      <c r="F45" s="74">
        <v>80000</v>
      </c>
      <c r="G45" s="74">
        <f>D45*E45*F45</f>
        <v>960000</v>
      </c>
      <c r="J45" s="22"/>
      <c r="K45" s="22"/>
      <c r="L45" s="22"/>
      <c r="M45" s="22"/>
      <c r="N45" s="22"/>
      <c r="O45" s="23"/>
    </row>
    <row r="46" spans="2:16" x14ac:dyDescent="0.25">
      <c r="B46" s="163" t="s">
        <v>116</v>
      </c>
      <c r="C46" s="73" t="s">
        <v>17</v>
      </c>
      <c r="D46" s="73">
        <f>D40</f>
        <v>8</v>
      </c>
      <c r="E46" s="73">
        <v>3</v>
      </c>
      <c r="F46" s="74">
        <v>80000</v>
      </c>
      <c r="G46" s="74">
        <f>D46*E46*F46</f>
        <v>1920000</v>
      </c>
      <c r="J46" s="22"/>
      <c r="K46" s="22"/>
      <c r="L46" s="22"/>
      <c r="M46" s="22"/>
      <c r="N46" s="22"/>
      <c r="O46" s="23"/>
    </row>
    <row r="47" spans="2:16" x14ac:dyDescent="0.25">
      <c r="B47" s="163" t="s">
        <v>126</v>
      </c>
      <c r="C47" s="73" t="s">
        <v>17</v>
      </c>
      <c r="D47" s="73">
        <f>E40</f>
        <v>6</v>
      </c>
      <c r="E47" s="73">
        <v>4</v>
      </c>
      <c r="F47" s="74">
        <v>80000</v>
      </c>
      <c r="G47" s="74">
        <f>D47*E47*F47</f>
        <v>1920000</v>
      </c>
      <c r="J47" s="22"/>
      <c r="K47" s="22"/>
      <c r="L47" s="22"/>
      <c r="M47" s="22"/>
      <c r="N47" s="22"/>
      <c r="O47" s="23"/>
    </row>
    <row r="48" spans="2:16" x14ac:dyDescent="0.25">
      <c r="B48" s="204" t="s">
        <v>88</v>
      </c>
      <c r="C48" s="205"/>
      <c r="D48" s="205"/>
      <c r="E48" s="206"/>
      <c r="F48" s="167">
        <f>SUM(F45:F47)</f>
        <v>240000</v>
      </c>
      <c r="G48" s="72">
        <f>SUM(G45:G47)</f>
        <v>4800000</v>
      </c>
      <c r="J48" s="22"/>
      <c r="K48" s="22"/>
      <c r="L48" s="22"/>
      <c r="M48" s="22"/>
      <c r="N48" s="22"/>
      <c r="O48" s="23"/>
    </row>
    <row r="49" spans="2:15" x14ac:dyDescent="0.25">
      <c r="B49" s="176"/>
      <c r="C49" s="176"/>
      <c r="D49" s="176"/>
      <c r="E49" s="176"/>
      <c r="F49" s="176"/>
      <c r="G49" s="176"/>
      <c r="J49" s="22"/>
      <c r="K49" s="22"/>
      <c r="L49" s="22"/>
      <c r="M49" s="22"/>
      <c r="N49" s="22"/>
      <c r="O49" s="23"/>
    </row>
    <row r="50" spans="2:15" x14ac:dyDescent="0.25">
      <c r="B50" s="176"/>
      <c r="C50" s="176"/>
      <c r="D50" s="176"/>
      <c r="E50" s="176"/>
      <c r="F50" s="176"/>
      <c r="J50" s="22"/>
      <c r="K50" s="22"/>
      <c r="L50" s="22"/>
      <c r="M50" s="22"/>
      <c r="N50" s="22"/>
      <c r="O50" s="23"/>
    </row>
    <row r="51" spans="2:15" x14ac:dyDescent="0.25">
      <c r="B51" s="83"/>
      <c r="C51" s="83"/>
      <c r="D51" s="83"/>
      <c r="E51" s="83"/>
      <c r="F51" s="82"/>
      <c r="G51" s="84"/>
      <c r="J51" s="22"/>
      <c r="K51" s="22"/>
      <c r="L51" s="22"/>
      <c r="M51" s="22"/>
      <c r="N51" s="22"/>
      <c r="O51" s="23"/>
    </row>
    <row r="52" spans="2:15" x14ac:dyDescent="0.25">
      <c r="B52" s="199" t="s">
        <v>127</v>
      </c>
      <c r="C52" s="199"/>
      <c r="D52" s="199"/>
      <c r="E52" s="199"/>
      <c r="F52" s="199"/>
      <c r="G52" s="84"/>
      <c r="J52" s="22"/>
      <c r="K52" s="22"/>
      <c r="L52" s="22"/>
      <c r="M52" s="22"/>
      <c r="N52" s="22"/>
      <c r="O52" s="23"/>
    </row>
    <row r="53" spans="2:15" ht="30" x14ac:dyDescent="0.25">
      <c r="B53" s="98" t="s">
        <v>2</v>
      </c>
      <c r="C53" s="98" t="s">
        <v>3</v>
      </c>
      <c r="D53" s="98" t="s">
        <v>92</v>
      </c>
      <c r="E53" s="98" t="s">
        <v>128</v>
      </c>
      <c r="F53" s="98" t="s">
        <v>79</v>
      </c>
      <c r="G53" s="84"/>
      <c r="J53" s="22"/>
      <c r="K53" s="22"/>
      <c r="L53" s="22"/>
      <c r="M53" s="22"/>
      <c r="N53" s="22"/>
      <c r="O53" s="23"/>
    </row>
    <row r="54" spans="2:15" ht="38.25" x14ac:dyDescent="0.25">
      <c r="B54" s="169" t="s">
        <v>129</v>
      </c>
      <c r="C54" s="21" t="s">
        <v>17</v>
      </c>
      <c r="D54" s="21">
        <v>160</v>
      </c>
      <c r="E54" s="168">
        <v>35000</v>
      </c>
      <c r="F54" s="168">
        <f>E54*D54</f>
        <v>5600000</v>
      </c>
      <c r="G54" s="84"/>
      <c r="J54" s="22"/>
      <c r="K54" s="22"/>
      <c r="L54" s="22"/>
      <c r="M54" s="22"/>
      <c r="N54" s="22"/>
      <c r="O54" s="23"/>
    </row>
    <row r="55" spans="2:15" x14ac:dyDescent="0.25">
      <c r="B55" s="200" t="s">
        <v>88</v>
      </c>
      <c r="C55" s="200"/>
      <c r="D55" s="200"/>
      <c r="E55" s="78">
        <f>SUM(E54:E54)</f>
        <v>35000</v>
      </c>
      <c r="F55" s="78">
        <f>F54</f>
        <v>5600000</v>
      </c>
      <c r="G55" s="84"/>
      <c r="J55" s="22"/>
      <c r="K55" s="22"/>
      <c r="L55" s="22"/>
      <c r="M55" s="22"/>
      <c r="N55" s="22"/>
      <c r="O55" s="23"/>
    </row>
    <row r="56" spans="2:15" x14ac:dyDescent="0.25">
      <c r="B56" s="83"/>
      <c r="C56" s="83"/>
      <c r="D56" s="83"/>
      <c r="E56" s="83"/>
      <c r="F56" s="82"/>
      <c r="G56" s="84"/>
      <c r="J56" s="22"/>
      <c r="K56" s="22"/>
      <c r="L56" s="22"/>
      <c r="M56" s="22"/>
      <c r="N56" s="22"/>
      <c r="O56" s="23"/>
    </row>
    <row r="57" spans="2:15" x14ac:dyDescent="0.25">
      <c r="B57" s="83"/>
      <c r="C57" s="83"/>
      <c r="D57" s="83"/>
      <c r="E57" s="83"/>
      <c r="F57" s="82"/>
      <c r="G57" s="84"/>
      <c r="J57" s="22"/>
      <c r="K57" s="22"/>
      <c r="L57" s="22"/>
      <c r="M57" s="22"/>
      <c r="N57" s="22"/>
      <c r="O57" s="23"/>
    </row>
    <row r="58" spans="2:15" x14ac:dyDescent="0.25">
      <c r="B58" s="207" t="s">
        <v>130</v>
      </c>
      <c r="C58" s="208"/>
      <c r="D58" s="208"/>
      <c r="E58" s="208"/>
      <c r="F58" s="209"/>
      <c r="G58" s="84"/>
      <c r="J58" s="22"/>
      <c r="K58" s="22"/>
      <c r="L58" s="22"/>
      <c r="M58" s="22"/>
      <c r="N58" s="22"/>
      <c r="O58" s="23"/>
    </row>
    <row r="59" spans="2:15" ht="30" x14ac:dyDescent="0.25">
      <c r="B59" s="90" t="s">
        <v>2</v>
      </c>
      <c r="C59" s="81" t="s">
        <v>3</v>
      </c>
      <c r="D59" s="81" t="s">
        <v>4</v>
      </c>
      <c r="E59" s="99" t="s">
        <v>44</v>
      </c>
      <c r="F59" s="99" t="s">
        <v>79</v>
      </c>
      <c r="G59" s="84"/>
      <c r="J59" s="22"/>
      <c r="K59" s="22"/>
      <c r="L59" s="22"/>
      <c r="M59" s="22"/>
      <c r="N59" s="22"/>
      <c r="O59" s="23"/>
    </row>
    <row r="60" spans="2:15" x14ac:dyDescent="0.25">
      <c r="B60" s="172" t="s">
        <v>131</v>
      </c>
      <c r="C60" s="172" t="s">
        <v>17</v>
      </c>
      <c r="D60" s="172">
        <v>160</v>
      </c>
      <c r="E60" s="75">
        <f>1423500*4.5</f>
        <v>6405750</v>
      </c>
      <c r="F60" s="75">
        <f>E60*D60</f>
        <v>1024920000</v>
      </c>
      <c r="G60" s="84"/>
      <c r="J60" s="22"/>
      <c r="K60" s="22"/>
      <c r="L60" s="22"/>
      <c r="M60" s="22"/>
      <c r="N60" s="22"/>
      <c r="O60" s="23"/>
    </row>
    <row r="61" spans="2:15" x14ac:dyDescent="0.25">
      <c r="B61" s="100" t="s">
        <v>132</v>
      </c>
      <c r="C61" s="172" t="s">
        <v>17</v>
      </c>
      <c r="D61" s="172">
        <v>160</v>
      </c>
      <c r="E61" s="75">
        <v>75000</v>
      </c>
      <c r="F61" s="75">
        <f>E61*D61</f>
        <v>12000000</v>
      </c>
      <c r="G61" s="84"/>
      <c r="J61" s="22"/>
      <c r="K61" s="22"/>
      <c r="L61" s="22"/>
      <c r="M61" s="22"/>
      <c r="N61" s="22"/>
      <c r="O61" s="23"/>
    </row>
    <row r="62" spans="2:15" x14ac:dyDescent="0.25">
      <c r="B62" s="204" t="s">
        <v>88</v>
      </c>
      <c r="C62" s="205"/>
      <c r="D62" s="206"/>
      <c r="E62" s="76">
        <f>SUM(E60:E61)</f>
        <v>6480750</v>
      </c>
      <c r="F62" s="76">
        <f>SUM(F60:F61)</f>
        <v>1036920000</v>
      </c>
      <c r="G62" s="84"/>
      <c r="J62" s="22"/>
      <c r="K62" s="22"/>
      <c r="L62" s="22"/>
      <c r="M62" s="22"/>
      <c r="N62" s="22"/>
      <c r="O62" s="23"/>
    </row>
    <row r="63" spans="2:15" x14ac:dyDescent="0.25">
      <c r="B63" s="83"/>
      <c r="C63" s="83"/>
      <c r="D63" s="83"/>
      <c r="E63" s="83"/>
      <c r="F63" s="82"/>
      <c r="G63" s="84"/>
      <c r="J63" s="22"/>
      <c r="K63" s="22"/>
      <c r="L63" s="22"/>
      <c r="M63" s="22"/>
      <c r="N63" s="22"/>
      <c r="O63" s="23"/>
    </row>
    <row r="64" spans="2:15" x14ac:dyDescent="0.25">
      <c r="B64" s="83"/>
      <c r="C64" s="83"/>
      <c r="D64" s="83"/>
      <c r="E64" s="83"/>
      <c r="F64" s="82"/>
      <c r="G64" s="84"/>
      <c r="J64" s="22"/>
      <c r="K64" s="22"/>
      <c r="L64" s="22"/>
      <c r="M64" s="22"/>
      <c r="N64" s="22"/>
      <c r="O64" s="23"/>
    </row>
    <row r="65" spans="2:15" x14ac:dyDescent="0.25">
      <c r="B65" s="199" t="s">
        <v>133</v>
      </c>
      <c r="C65" s="199"/>
      <c r="D65" s="199"/>
      <c r="E65" s="199"/>
      <c r="F65" s="199"/>
      <c r="G65" s="84"/>
      <c r="J65" s="22"/>
      <c r="K65" s="22"/>
      <c r="L65" s="22"/>
      <c r="M65" s="22"/>
      <c r="N65" s="22"/>
      <c r="O65" s="23"/>
    </row>
    <row r="66" spans="2:15" ht="30" x14ac:dyDescent="0.25">
      <c r="B66" s="98" t="s">
        <v>2</v>
      </c>
      <c r="C66" s="98" t="s">
        <v>3</v>
      </c>
      <c r="D66" s="98" t="s">
        <v>92</v>
      </c>
      <c r="E66" s="98" t="s">
        <v>128</v>
      </c>
      <c r="F66" s="98" t="s">
        <v>79</v>
      </c>
      <c r="J66" s="22"/>
      <c r="K66" s="22"/>
      <c r="L66" s="22"/>
      <c r="M66" s="22"/>
      <c r="N66" s="22"/>
    </row>
    <row r="67" spans="2:15" x14ac:dyDescent="0.25">
      <c r="B67" s="179" t="s">
        <v>134</v>
      </c>
      <c r="C67" s="21" t="s">
        <v>17</v>
      </c>
      <c r="D67" s="21">
        <v>160</v>
      </c>
      <c r="E67" s="77">
        <v>7200</v>
      </c>
      <c r="F67" s="77">
        <f>+D67*E67</f>
        <v>1152000</v>
      </c>
    </row>
    <row r="68" spans="2:15" x14ac:dyDescent="0.25">
      <c r="B68" s="179" t="s">
        <v>135</v>
      </c>
      <c r="C68" s="21" t="s">
        <v>17</v>
      </c>
      <c r="D68" s="21">
        <v>160</v>
      </c>
      <c r="E68" s="77">
        <v>1800</v>
      </c>
      <c r="F68" s="77">
        <f>+D68*E68</f>
        <v>288000</v>
      </c>
    </row>
    <row r="69" spans="2:15" x14ac:dyDescent="0.25">
      <c r="B69" s="200" t="s">
        <v>88</v>
      </c>
      <c r="C69" s="200"/>
      <c r="D69" s="200"/>
      <c r="E69" s="78">
        <f>SUM(E67:E68)</f>
        <v>9000</v>
      </c>
      <c r="F69" s="78">
        <f>SUM(F67:F68)</f>
        <v>1440000</v>
      </c>
    </row>
  </sheetData>
  <mergeCells count="23">
    <mergeCell ref="J2:O5"/>
    <mergeCell ref="J36:M36"/>
    <mergeCell ref="B7:G7"/>
    <mergeCell ref="B16:E16"/>
    <mergeCell ref="J29:L29"/>
    <mergeCell ref="J25:N25"/>
    <mergeCell ref="B26:F26"/>
    <mergeCell ref="B27:G27"/>
    <mergeCell ref="B28:G28"/>
    <mergeCell ref="B19:G19"/>
    <mergeCell ref="J16:P16"/>
    <mergeCell ref="J7:O7"/>
    <mergeCell ref="J22:M22"/>
    <mergeCell ref="J32:O32"/>
    <mergeCell ref="B65:F65"/>
    <mergeCell ref="B69:D69"/>
    <mergeCell ref="B31:E31"/>
    <mergeCell ref="B43:G43"/>
    <mergeCell ref="B48:E48"/>
    <mergeCell ref="B62:D62"/>
    <mergeCell ref="B58:F58"/>
    <mergeCell ref="B52:F52"/>
    <mergeCell ref="B55:D5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60DC2-4A60-487D-82AD-0251D3425546}">
  <dimension ref="A1:B25"/>
  <sheetViews>
    <sheetView workbookViewId="0">
      <selection activeCell="A18" sqref="A18:B25"/>
    </sheetView>
  </sheetViews>
  <sheetFormatPr baseColWidth="10" defaultColWidth="11.42578125" defaultRowHeight="15" x14ac:dyDescent="0.25"/>
  <cols>
    <col min="1" max="1" width="42.7109375" bestFit="1" customWidth="1"/>
    <col min="2" max="2" width="18.28515625" style="26" bestFit="1" customWidth="1"/>
  </cols>
  <sheetData>
    <row r="1" spans="1:2" x14ac:dyDescent="0.25">
      <c r="A1" t="s">
        <v>136</v>
      </c>
      <c r="B1" s="26" t="e">
        <f>+#REF!+#REF!+#REF!</f>
        <v>#REF!</v>
      </c>
    </row>
    <row r="2" spans="1:2" x14ac:dyDescent="0.25">
      <c r="A2" t="s">
        <v>137</v>
      </c>
      <c r="B2" s="27" t="e">
        <f>+#REF!+#REF!+#REF!+#REF!</f>
        <v>#REF!</v>
      </c>
    </row>
    <row r="3" spans="1:2" x14ac:dyDescent="0.25">
      <c r="A3" t="s">
        <v>138</v>
      </c>
      <c r="B3" s="26">
        <f>+CONSOLIDADO!H19</f>
        <v>1036920000</v>
      </c>
    </row>
    <row r="4" spans="1:2" x14ac:dyDescent="0.25">
      <c r="A4" t="s">
        <v>139</v>
      </c>
      <c r="B4" s="26" t="e">
        <f>+#REF!+#REF!</f>
        <v>#REF!</v>
      </c>
    </row>
    <row r="5" spans="1:2" x14ac:dyDescent="0.25">
      <c r="A5" t="s">
        <v>140</v>
      </c>
      <c r="B5" s="26">
        <f>CONSOLIDADO!H16</f>
        <v>5600000</v>
      </c>
    </row>
    <row r="6" spans="1:2" x14ac:dyDescent="0.25">
      <c r="A6" t="s">
        <v>141</v>
      </c>
      <c r="B6" s="26">
        <f>CONSOLIDADO!H5</f>
        <v>194800000</v>
      </c>
    </row>
    <row r="7" spans="1:2" x14ac:dyDescent="0.25">
      <c r="A7" t="s">
        <v>142</v>
      </c>
      <c r="B7" s="26">
        <f>+CONSOLIDADO!H17</f>
        <v>900000</v>
      </c>
    </row>
    <row r="8" spans="1:2" x14ac:dyDescent="0.25">
      <c r="A8" t="s">
        <v>143</v>
      </c>
      <c r="B8" s="26">
        <f>+CONSOLIDADO!H25</f>
        <v>69461813</v>
      </c>
    </row>
    <row r="9" spans="1:2" x14ac:dyDescent="0.25">
      <c r="B9" s="26" t="e">
        <f>SUM(B1:B8)</f>
        <v>#REF!</v>
      </c>
    </row>
    <row r="10" spans="1:2" x14ac:dyDescent="0.25">
      <c r="B10" s="26">
        <v>6195425775</v>
      </c>
    </row>
    <row r="11" spans="1:2" x14ac:dyDescent="0.25">
      <c r="B11" s="26" t="e">
        <f>+B9-B10</f>
        <v>#REF!</v>
      </c>
    </row>
    <row r="17" spans="1:2" ht="15.75" thickBot="1" x14ac:dyDescent="0.3"/>
    <row r="18" spans="1:2" ht="15.75" thickBot="1" x14ac:dyDescent="0.3">
      <c r="A18" s="28" t="s">
        <v>144</v>
      </c>
      <c r="B18" s="29" t="s">
        <v>145</v>
      </c>
    </row>
    <row r="19" spans="1:2" ht="15.75" thickBot="1" x14ac:dyDescent="0.3">
      <c r="A19" s="30" t="s">
        <v>146</v>
      </c>
      <c r="B19" s="31">
        <v>1</v>
      </c>
    </row>
    <row r="20" spans="1:2" ht="15.75" thickBot="1" x14ac:dyDescent="0.3">
      <c r="A20" s="30" t="s">
        <v>147</v>
      </c>
      <c r="B20" s="31">
        <v>1</v>
      </c>
    </row>
    <row r="21" spans="1:2" ht="15.75" thickBot="1" x14ac:dyDescent="0.3">
      <c r="A21" s="30" t="s">
        <v>148</v>
      </c>
      <c r="B21" s="31">
        <v>8</v>
      </c>
    </row>
    <row r="22" spans="1:2" ht="15.75" thickBot="1" x14ac:dyDescent="0.3">
      <c r="A22" s="30" t="s">
        <v>149</v>
      </c>
      <c r="B22" s="31">
        <v>11</v>
      </c>
    </row>
    <row r="23" spans="1:2" ht="15.75" thickBot="1" x14ac:dyDescent="0.3">
      <c r="A23" s="30" t="s">
        <v>150</v>
      </c>
      <c r="B23" s="31">
        <v>11</v>
      </c>
    </row>
    <row r="24" spans="1:2" ht="15.75" thickBot="1" x14ac:dyDescent="0.3">
      <c r="A24" s="30" t="s">
        <v>151</v>
      </c>
      <c r="B24" s="31">
        <v>22</v>
      </c>
    </row>
    <row r="25" spans="1:2" ht="15.75" thickBot="1" x14ac:dyDescent="0.3">
      <c r="A25" s="30" t="s">
        <v>152</v>
      </c>
      <c r="B25" s="31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4190A1A027D0641867C4FE40A5F6689" ma:contentTypeVersion="19" ma:contentTypeDescription="Crear nuevo documento." ma:contentTypeScope="" ma:versionID="44086f538318ed17fa575cbd1afc4d81">
  <xsd:schema xmlns:xsd="http://www.w3.org/2001/XMLSchema" xmlns:xs="http://www.w3.org/2001/XMLSchema" xmlns:p="http://schemas.microsoft.com/office/2006/metadata/properties" xmlns:ns2="ef2988b2-9416-41ad-b2c3-714c90158b72" xmlns:ns3="1837e1ae-cc8f-43a0-be28-5e66398f854a" targetNamespace="http://schemas.microsoft.com/office/2006/metadata/properties" ma:root="true" ma:fieldsID="b906f4a8f05f7649545c7a57a6f643fb" ns2:_="" ns3:_="">
    <xsd:import namespace="ef2988b2-9416-41ad-b2c3-714c90158b72"/>
    <xsd:import namespace="1837e1ae-cc8f-43a0-be28-5e66398f85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2988b2-9416-41ad-b2c3-714c90158b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f388a7e-4936-41a6-adbd-0baeef96c1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37e1ae-cc8f-43a0-be28-5e66398f854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e241631-3ea8-4360-b608-955853e50174}" ma:internalName="TaxCatchAll" ma:showField="CatchAllData" ma:web="1837e1ae-cc8f-43a0-be28-5e66398f85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f2988b2-9416-41ad-b2c3-714c90158b72">
      <Terms xmlns="http://schemas.microsoft.com/office/infopath/2007/PartnerControls"/>
    </lcf76f155ced4ddcb4097134ff3c332f>
    <TaxCatchAll xmlns="1837e1ae-cc8f-43a0-be28-5e66398f854a" xsi:nil="true"/>
  </documentManagement>
</p:properties>
</file>

<file path=customXml/itemProps1.xml><?xml version="1.0" encoding="utf-8"?>
<ds:datastoreItem xmlns:ds="http://schemas.openxmlformats.org/officeDocument/2006/customXml" ds:itemID="{859671A9-8346-4784-8823-B42A3C1456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2988b2-9416-41ad-b2c3-714c90158b72"/>
    <ds:schemaRef ds:uri="1837e1ae-cc8f-43a0-be28-5e66398f85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D73AAD-807C-4A35-8A44-B23B63E3AC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9E260F-E032-4C59-B56C-80BEEF2422CD}">
  <ds:schemaRefs>
    <ds:schemaRef ds:uri="http://schemas.microsoft.com/office/2006/metadata/properties"/>
    <ds:schemaRef ds:uri="http://schemas.microsoft.com/office/infopath/2007/PartnerControls"/>
    <ds:schemaRef ds:uri="ef2988b2-9416-41ad-b2c3-714c90158b72"/>
    <ds:schemaRef ds:uri="1837e1ae-cc8f-43a0-be28-5e66398f854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CONSOLIDADO</vt:lpstr>
      <vt:lpstr>PPTO DPS</vt:lpstr>
      <vt:lpstr>ANEXO PPTO PS</vt:lpstr>
      <vt:lpstr>Hoja1</vt:lpstr>
      <vt:lpstr>Hoja1!_Hlk194485353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Edilberto Garcia Camargo</dc:creator>
  <cp:keywords/>
  <dc:description/>
  <cp:lastModifiedBy>Liliana Vargas Artunduaga</cp:lastModifiedBy>
  <cp:revision/>
  <dcterms:created xsi:type="dcterms:W3CDTF">2025-03-19T19:37:35Z</dcterms:created>
  <dcterms:modified xsi:type="dcterms:W3CDTF">2026-03-25T20:46:31Z</dcterms:modified>
  <cp:category/>
  <cp:contentStatus/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ContentTypeId">
    <vt:lpwstr>0x01010074190A1A027D0641867C4FE40A5F6689</vt:lpwstr>
  </op:property>
  <op:property fmtid="{D5CDD505-2E9C-101B-9397-08002B2CF9AE}" pid="3" name="IdNivel">
    <vt:lpwstr>NIVEL-1</vt:lpwstr>
  </op:property>
  <op:property fmtid="{D5CDD505-2E9C-101B-9397-08002B2CF9AE}" pid="4" name="IdTipoDoc">
    <vt:lpwstr>TIPODOC-1</vt:lpwstr>
  </op:property>
  <op:property fmtid="{D5CDD505-2E9C-101B-9397-08002B2CF9AE}" pid="5" name="IdDocTMS">
    <vt:lpwstr>DOCTMS-1</vt:lpwstr>
  </op:property>
  <op:property fmtid="{D5CDD505-2E9C-101B-9397-08002B2CF9AE}" pid="6" name="PublicarPDF">
    <vt:lpwstr>1</vt:lpwstr>
  </op:property>
</op:Properties>
</file>