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 ARMADA\2026\HEMOFILIA S.A\"/>
    </mc:Choice>
  </mc:AlternateContent>
  <bookViews>
    <workbookView xWindow="0" yWindow="0" windowWidth="23040" windowHeight="8208"/>
  </bookViews>
  <sheets>
    <sheet name="Hoja1" sheetId="4" r:id="rId1"/>
    <sheet name="Hoja2" sheetId="5" r:id="rId2"/>
  </sheets>
  <definedNames>
    <definedName name="_xlnm._FilterDatabase" localSheetId="0" hidden="1">Hoja1!$A$2:$R$2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0" i="4" l="1"/>
  <c r="R6" i="4"/>
  <c r="R5" i="4"/>
  <c r="R3" i="4"/>
  <c r="P4" i="4"/>
  <c r="P5" i="4"/>
  <c r="P6" i="4"/>
  <c r="P3" i="4"/>
  <c r="M3" i="4"/>
  <c r="L3" i="4"/>
  <c r="K3" i="4"/>
  <c r="C32" i="5" l="1"/>
  <c r="C33" i="5" s="1"/>
  <c r="H5" i="4" l="1"/>
  <c r="H6" i="4"/>
  <c r="H3" i="4"/>
  <c r="N3" i="4" l="1"/>
  <c r="O3" i="4" l="1"/>
  <c r="F6" i="4" l="1"/>
  <c r="N4" i="4" l="1"/>
  <c r="M4" i="4"/>
  <c r="R4" i="4" s="1"/>
  <c r="L4" i="4"/>
  <c r="K4" i="4"/>
  <c r="N6" i="4" l="1"/>
  <c r="M6" i="4"/>
  <c r="L6" i="4"/>
  <c r="K6" i="4"/>
  <c r="N5" i="4"/>
  <c r="M5" i="4"/>
  <c r="L5" i="4"/>
  <c r="K5" i="4"/>
  <c r="R7" i="4" l="1"/>
  <c r="O6" i="4"/>
  <c r="O4" i="4"/>
  <c r="O5" i="4"/>
</calcChain>
</file>

<file path=xl/sharedStrings.xml><?xml version="1.0" encoding="utf-8"?>
<sst xmlns="http://schemas.openxmlformats.org/spreadsheetml/2006/main" count="40" uniqueCount="35">
  <si>
    <t>PACIENTES</t>
  </si>
  <si>
    <t>MEDIDAS DE TENDENCIA</t>
  </si>
  <si>
    <t>PRECIO DE REFERENCIA</t>
  </si>
  <si>
    <t>VALOR UNITARIO</t>
  </si>
  <si>
    <t>PROMEDIO</t>
  </si>
  <si>
    <t>MEDIANA</t>
  </si>
  <si>
    <t>MEDIA ARMONICA</t>
  </si>
  <si>
    <t>DESVIACIÓN ESTÁNDAR</t>
  </si>
  <si>
    <t xml:space="preserve">COEFICIENTE DE VARIACION </t>
  </si>
  <si>
    <t>COTIZACIÓN</t>
  </si>
  <si>
    <t>TIPO</t>
  </si>
  <si>
    <t>SERVICIO</t>
  </si>
  <si>
    <t>ESPECIFICACIONES TÉCNICAS</t>
  </si>
  <si>
    <t>UNIDAD DE MEDIDA</t>
  </si>
  <si>
    <t>(Hemofilia leve y EvW tipo I y II)</t>
  </si>
  <si>
    <t>Paquete</t>
  </si>
  <si>
    <t>Tratamiento / Componente</t>
  </si>
  <si>
    <t>(Hemofilia moderada y EvW tipo III)</t>
  </si>
  <si>
    <t>(Hemofilia severa)</t>
  </si>
  <si>
    <t>Tratamiento integral por paciente sin suministro del Factor de coagulación – Incluye:
1. consulta hematología semestral.
2. ortopedia, fisiatría, terapia física y terapia ocupacional anual.
3. Trabajo social y psicología semestral.
4. Nutrición anual.
5. Odontología cuatrimestral.
6. Medición de inhibidores según necesidad.
7. Perfil viral según necesidad.
8. Todos los pacientes al inicio del tratamiento para ajustar los esquemas de dosificación (uso de la calculadora clínica de la herramienta Wapps-Hemo). Todos los pacientes anual para evaluar posibles cambios de acuerdo con evolución clínica. En pacientes menores de 12 años, cada 6 meses para revisar esquema de dosificación. Adicionalmente, este servicio se deberá prestar cada vez que el profesional lo requiere para evaluar respuesta ante el factor.</t>
  </si>
  <si>
    <t>Tratamiento integral por paciente sin suministro del Factor de coagulación - Incluye:
1. consulta hematología trimestral.
2. Ortopedia, fisiatría, terapia física y terapia ocupacional semestral.
3. Trabajo social y psicología trimestral.
4. Nutrición semestral.
5. Odontología cuatrimestral.
6. Medición de inhibidores: Anual si tiene profilaxis y trimestral si tiene historia de inhibidores.
7. Perfil viral Semestral si requiere uso de factor y anual si no requiere uso del factor.
8. Todos los pacientes al inicio del tratamiento para ajustar los esquemas de dosificación (uso de la calculadora clínica de la herramienta Wapps-Hemo). Todos los pacientes anual para evaluar posibles cambios de acuerdo con evolución clínica. En pacientes menores de 12 años, cada 6 meses para revisar esquema de dosificación. Adicionalmente, este servicio se deberá prestar cada vez que el profesional lo requiere para evaluar respuesta ante el factor.</t>
  </si>
  <si>
    <t>Medicamento</t>
  </si>
  <si>
    <t>BENEFIX - Coagulacion Factor Ix-500</t>
  </si>
  <si>
    <t>UI</t>
  </si>
  <si>
    <t>Factor / Anticuerpo</t>
  </si>
  <si>
    <t>PRECIO HISTORICO PROMEDIO 
OC No. 143396</t>
  </si>
  <si>
    <t>PRECIO HISTORICO PROYECTADO
IPC 2025 
5,1%</t>
  </si>
  <si>
    <t>SIN HISTORICO</t>
  </si>
  <si>
    <t>Tratamiento integral por paciente sin suministro del Factor de coagulación -  Incluye:
1. Consulta hematología Bimensual o después de cada episodio de sangrado (Cuando esto suceda se debe realizar de manera mensual).
2. Ortopedia, fisiatría, terapia física y terapia ocupacional trimestral.
3. Trabajo social y psicología trimestral.
4. Nutrición trimestral.
5. Odontología cuatrimestral.
6. Medición de inhibidores Semestral y si tiene historia de Inhibidores trimestral.
7. Perfil viral Semestral.
8. Todos los pacientes al inicio del tratamiento para ajustar los esquemas de dosificación (uso de la calculadora clínica de la herramienta Wapps-Hemo). Todos los pacientes anual para evaluar posibles cambios de acuerdo con evolución clínica. En pacientes menores de 12 años, cada 6 meses para revisar esquema de dosificación. Adicionalmente, este servicio se deberá prestar cada vez que el profesional lo requiere para evaluar respuesta ante el factor.</t>
  </si>
  <si>
    <t>MEDICARTE</t>
  </si>
  <si>
    <t>DISAN PONAL
CONTRATO No. 07-7-20047-26</t>
  </si>
  <si>
    <t>OTRAS ENTIDADES</t>
  </si>
  <si>
    <t>ITEM</t>
  </si>
  <si>
    <t>VALOR MENSUAL</t>
  </si>
  <si>
    <t xml:space="preserve">CDP 8926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</si>
</sst>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43" formatCode="_-* #,##0.00_-;\-* #,##0.00_-;_-* &quot;-&quot;??_-;_-@_-"/>
  </numFmts>
  <fonts count="11" x14ac:knownFonts="1">
    <font>
      <sz val="11"/>
      <color theme="1"/>
      <name val="Calibri"/>
      <family val="2"/>
      <scheme val="minor"/>
    </font>
    <font>
      <sz val="11"/>
      <color theme="1"/>
      <name val="Calibri"/>
      <family val="2"/>
      <scheme val="minor"/>
    </font>
    <font>
      <sz val="10"/>
      <name val="Century Gothic"/>
      <family val="2"/>
    </font>
    <font>
      <sz val="10"/>
      <color theme="1"/>
      <name val="Century Gothic"/>
      <family val="2"/>
    </font>
    <font>
      <b/>
      <sz val="10"/>
      <name val="Century Gothic"/>
      <family val="2"/>
    </font>
    <font>
      <b/>
      <sz val="10"/>
      <color theme="1"/>
      <name val="Century Gothic"/>
      <family val="2"/>
    </font>
    <font>
      <sz val="8"/>
      <color theme="1"/>
      <name val="Century Gothic"/>
      <family val="2"/>
    </font>
    <font>
      <b/>
      <sz val="11"/>
      <color theme="1"/>
      <name val="Century Gothic"/>
      <family val="2"/>
    </font>
    <font>
      <b/>
      <sz val="11"/>
      <name val="Century Gothic"/>
      <family val="2"/>
    </font>
    <font>
      <sz val="10"/>
      <color rgb="FF6A6A6A"/>
      <name val="Century Gothic"/>
      <family val="2"/>
    </font>
    <font>
      <b/>
      <sz val="10"/>
      <color rgb="FF60768A"/>
      <name val="Century Gothic"/>
      <family val="2"/>
    </font>
  </fonts>
  <fills count="2">
    <fill>
      <patternFill patternType="none"/>
    </fill>
    <fill>
      <patternFill patternType="gray125"/>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bottom/>
      <diagonal/>
    </border>
    <border>
      <left/>
      <right style="medium">
        <color indexed="64"/>
      </right>
      <top style="medium">
        <color indexed="64"/>
      </top>
      <bottom style="thin">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84">
    <xf numFmtId="0" fontId="0" fillId="0" borderId="0" xfId="0"/>
    <xf numFmtId="0" fontId="3" fillId="0" borderId="0" xfId="0" applyFont="1"/>
    <xf numFmtId="43" fontId="3" fillId="0" borderId="1" xfId="0" applyNumberFormat="1" applyFont="1" applyBorder="1" applyAlignment="1">
      <alignment vertical="center"/>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3" fillId="0" borderId="0" xfId="0" applyFont="1" applyBorder="1"/>
    <xf numFmtId="0" fontId="2" fillId="0" borderId="12" xfId="0" applyFont="1" applyFill="1" applyBorder="1" applyAlignment="1">
      <alignment horizontal="center" vertical="center"/>
    </xf>
    <xf numFmtId="43" fontId="3" fillId="0" borderId="11" xfId="1" applyFont="1" applyFill="1" applyBorder="1" applyAlignment="1">
      <alignment horizontal="left" vertical="center" wrapText="1"/>
    </xf>
    <xf numFmtId="43" fontId="3" fillId="0" borderId="3" xfId="0" applyNumberFormat="1" applyFont="1" applyBorder="1" applyAlignment="1">
      <alignment vertical="center"/>
    </xf>
    <xf numFmtId="4" fontId="5" fillId="0" borderId="20" xfId="0" applyNumberFormat="1" applyFont="1" applyBorder="1" applyAlignment="1">
      <alignment horizontal="center" vertical="center" wrapText="1"/>
    </xf>
    <xf numFmtId="4" fontId="5" fillId="0" borderId="21" xfId="0" applyNumberFormat="1" applyFont="1" applyBorder="1" applyAlignment="1">
      <alignment horizontal="center" vertical="center" wrapText="1"/>
    </xf>
    <xf numFmtId="4" fontId="5" fillId="0" borderId="18" xfId="0" applyNumberFormat="1" applyFont="1" applyBorder="1" applyAlignment="1">
      <alignment horizontal="center" vertical="center" wrapText="1"/>
    </xf>
    <xf numFmtId="43" fontId="2" fillId="0" borderId="11" xfId="0" applyNumberFormat="1" applyFont="1" applyFill="1" applyBorder="1" applyAlignment="1">
      <alignment horizontal="center" vertical="center" wrapText="1"/>
    </xf>
    <xf numFmtId="43" fontId="2" fillId="0" borderId="7" xfId="0" applyNumberFormat="1" applyFont="1" applyFill="1" applyBorder="1" applyAlignment="1">
      <alignment horizontal="center" vertical="center" wrapText="1"/>
    </xf>
    <xf numFmtId="43" fontId="2" fillId="0" borderId="9" xfId="0" applyNumberFormat="1" applyFont="1" applyFill="1" applyBorder="1" applyAlignment="1">
      <alignment horizontal="center" vertical="center" wrapText="1"/>
    </xf>
    <xf numFmtId="43" fontId="3" fillId="0" borderId="13" xfId="0" applyNumberFormat="1" applyFont="1" applyBorder="1" applyAlignment="1">
      <alignment vertical="center"/>
    </xf>
    <xf numFmtId="43" fontId="3" fillId="0" borderId="14" xfId="0" applyNumberFormat="1" applyFont="1" applyBorder="1" applyAlignment="1">
      <alignment vertical="center"/>
    </xf>
    <xf numFmtId="43" fontId="3" fillId="0" borderId="4" xfId="0" applyNumberFormat="1" applyFont="1" applyBorder="1" applyAlignment="1">
      <alignment vertical="center"/>
    </xf>
    <xf numFmtId="43" fontId="3" fillId="0" borderId="24" xfId="0" applyNumberFormat="1" applyFont="1" applyBorder="1" applyAlignment="1">
      <alignment vertical="center"/>
    </xf>
    <xf numFmtId="4" fontId="5" fillId="0" borderId="25" xfId="0" applyNumberFormat="1" applyFont="1" applyBorder="1" applyAlignment="1">
      <alignment horizontal="center" vertical="center" wrapText="1"/>
    </xf>
    <xf numFmtId="43" fontId="3" fillId="0" borderId="11" xfId="0" applyNumberFormat="1" applyFont="1" applyBorder="1" applyAlignment="1">
      <alignment vertical="center"/>
    </xf>
    <xf numFmtId="43" fontId="3" fillId="0" borderId="7" xfId="0" applyNumberFormat="1" applyFont="1" applyBorder="1" applyAlignment="1">
      <alignment vertical="center"/>
    </xf>
    <xf numFmtId="43" fontId="3" fillId="0" borderId="9" xfId="0" applyNumberFormat="1" applyFont="1" applyBorder="1" applyAlignment="1">
      <alignment vertical="center"/>
    </xf>
    <xf numFmtId="43" fontId="3" fillId="0" borderId="26" xfId="0" applyNumberFormat="1" applyFont="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left" vertical="center" wrapText="1"/>
    </xf>
    <xf numFmtId="0" fontId="6" fillId="0" borderId="1" xfId="0" applyFont="1" applyBorder="1" applyAlignment="1">
      <alignment horizontal="justify" vertical="top" wrapText="1"/>
    </xf>
    <xf numFmtId="0" fontId="6" fillId="0" borderId="2" xfId="0" applyFont="1" applyBorder="1" applyAlignment="1">
      <alignment horizontal="justify" vertical="top" wrapText="1"/>
    </xf>
    <xf numFmtId="0" fontId="3" fillId="0" borderId="0" xfId="0" applyFont="1" applyAlignment="1">
      <alignment horizontal="left" wrapText="1"/>
    </xf>
    <xf numFmtId="4" fontId="3" fillId="0" borderId="0" xfId="0" applyNumberFormat="1" applyFont="1"/>
    <xf numFmtId="43" fontId="0" fillId="0" borderId="0" xfId="1" applyFont="1"/>
    <xf numFmtId="0" fontId="2" fillId="0" borderId="34" xfId="0" applyFont="1" applyFill="1" applyBorder="1" applyAlignment="1">
      <alignment horizontal="center" vertical="center"/>
    </xf>
    <xf numFmtId="0" fontId="2" fillId="0" borderId="35" xfId="0" applyFont="1" applyFill="1" applyBorder="1" applyAlignment="1">
      <alignment horizontal="center" vertical="center"/>
    </xf>
    <xf numFmtId="0" fontId="6" fillId="0" borderId="13" xfId="0" applyFont="1" applyBorder="1" applyAlignment="1">
      <alignment horizontal="left" vertical="center" wrapText="1"/>
    </xf>
    <xf numFmtId="0" fontId="6" fillId="0" borderId="13" xfId="0" applyFont="1" applyBorder="1" applyAlignment="1">
      <alignment horizontal="justify" vertical="center"/>
    </xf>
    <xf numFmtId="0" fontId="6" fillId="0" borderId="13" xfId="0" applyFont="1" applyBorder="1" applyAlignment="1">
      <alignment horizontal="center" vertical="center"/>
    </xf>
    <xf numFmtId="0" fontId="2" fillId="0" borderId="36" xfId="0" applyFont="1" applyFill="1" applyBorder="1" applyAlignment="1">
      <alignment horizontal="center" vertical="center"/>
    </xf>
    <xf numFmtId="0" fontId="2" fillId="0" borderId="29" xfId="0" applyFont="1" applyFill="1" applyBorder="1" applyAlignment="1">
      <alignment horizontal="center" vertical="center"/>
    </xf>
    <xf numFmtId="0" fontId="6" fillId="0" borderId="30" xfId="0" applyFont="1" applyBorder="1" applyAlignment="1">
      <alignment horizontal="left" vertical="center" wrapText="1"/>
    </xf>
    <xf numFmtId="0" fontId="6" fillId="0" borderId="30" xfId="0" applyFont="1" applyBorder="1" applyAlignment="1">
      <alignment horizontal="left" vertical="top" wrapText="1"/>
    </xf>
    <xf numFmtId="0" fontId="6" fillId="0" borderId="3" xfId="0" applyFont="1" applyBorder="1" applyAlignment="1">
      <alignment horizontal="center" vertical="center" wrapText="1"/>
    </xf>
    <xf numFmtId="0" fontId="4" fillId="0" borderId="22" xfId="0" applyFont="1" applyFill="1" applyBorder="1" applyAlignment="1">
      <alignment horizontal="center" vertical="center" wrapText="1"/>
    </xf>
    <xf numFmtId="43" fontId="3" fillId="0" borderId="37" xfId="1" applyFont="1" applyFill="1" applyBorder="1" applyAlignment="1">
      <alignment horizontal="left" vertical="center" wrapText="1"/>
    </xf>
    <xf numFmtId="43" fontId="3" fillId="0" borderId="11" xfId="1" applyFont="1" applyFill="1" applyBorder="1" applyAlignment="1">
      <alignment horizontal="center" vertical="center" wrapText="1"/>
    </xf>
    <xf numFmtId="43" fontId="3" fillId="0" borderId="38" xfId="1" applyFont="1" applyFill="1" applyBorder="1" applyAlignment="1">
      <alignment horizontal="left" vertical="center" wrapText="1"/>
    </xf>
    <xf numFmtId="43" fontId="3" fillId="0" borderId="17" xfId="1" applyFont="1" applyFill="1" applyBorder="1" applyAlignment="1">
      <alignment horizontal="left" vertical="center" wrapText="1"/>
    </xf>
    <xf numFmtId="43" fontId="3" fillId="0" borderId="36" xfId="1" applyFont="1" applyFill="1" applyBorder="1" applyAlignment="1">
      <alignment horizontal="left" vertical="center" wrapText="1"/>
    </xf>
    <xf numFmtId="43" fontId="3" fillId="0" borderId="40" xfId="1" applyFont="1" applyFill="1" applyBorder="1" applyAlignment="1">
      <alignment horizontal="left" vertical="center" wrapText="1"/>
    </xf>
    <xf numFmtId="43" fontId="3" fillId="0" borderId="4" xfId="1" applyFont="1" applyFill="1" applyBorder="1" applyAlignment="1">
      <alignment horizontal="center" vertical="center" wrapText="1"/>
    </xf>
    <xf numFmtId="43" fontId="3" fillId="0" borderId="4" xfId="1" applyFont="1" applyFill="1" applyBorder="1" applyAlignment="1">
      <alignment horizontal="left" vertical="center" wrapText="1"/>
    </xf>
    <xf numFmtId="43" fontId="3" fillId="0" borderId="24" xfId="1" applyFont="1" applyFill="1" applyBorder="1" applyAlignment="1">
      <alignment horizontal="left" vertical="center" wrapText="1"/>
    </xf>
    <xf numFmtId="0" fontId="4" fillId="0" borderId="41" xfId="0" applyFont="1" applyFill="1" applyBorder="1" applyAlignment="1">
      <alignment horizontal="center" vertical="center" wrapText="1"/>
    </xf>
    <xf numFmtId="0" fontId="5" fillId="0" borderId="16" xfId="0" applyFont="1" applyBorder="1" applyAlignment="1">
      <alignment horizontal="center" vertical="center" wrapText="1"/>
    </xf>
    <xf numFmtId="9" fontId="3" fillId="0" borderId="12" xfId="3" applyFont="1" applyBorder="1" applyAlignment="1">
      <alignment horizontal="center" vertical="center"/>
    </xf>
    <xf numFmtId="9" fontId="3" fillId="0" borderId="8" xfId="3" applyFont="1" applyBorder="1" applyAlignment="1">
      <alignment horizontal="center" vertical="center"/>
    </xf>
    <xf numFmtId="43" fontId="3" fillId="0" borderId="27" xfId="1" applyFont="1" applyBorder="1" applyAlignment="1">
      <alignment horizontal="left" vertical="center" wrapText="1"/>
    </xf>
    <xf numFmtId="43" fontId="3" fillId="0" borderId="23" xfId="1" applyFont="1" applyFill="1" applyBorder="1" applyAlignment="1">
      <alignment horizontal="left" vertical="center" wrapText="1"/>
    </xf>
    <xf numFmtId="43" fontId="3" fillId="0" borderId="26" xfId="1" applyFont="1" applyBorder="1" applyAlignment="1">
      <alignment horizontal="left" vertical="center" wrapText="1"/>
    </xf>
    <xf numFmtId="0" fontId="5" fillId="0" borderId="23" xfId="0" applyFont="1" applyBorder="1" applyAlignment="1">
      <alignment horizontal="center" vertical="center" wrapText="1"/>
    </xf>
    <xf numFmtId="9" fontId="3" fillId="0" borderId="10" xfId="3" applyFont="1" applyBorder="1" applyAlignment="1">
      <alignment horizontal="center" vertical="center"/>
    </xf>
    <xf numFmtId="43" fontId="3" fillId="0" borderId="15" xfId="0" applyNumberFormat="1" applyFont="1" applyBorder="1" applyAlignment="1">
      <alignment horizontal="center" vertical="center"/>
    </xf>
    <xf numFmtId="44" fontId="8" fillId="0" borderId="9" xfId="2" applyFont="1" applyFill="1" applyBorder="1" applyAlignment="1">
      <alignment horizontal="center" vertical="center" wrapText="1"/>
    </xf>
    <xf numFmtId="10" fontId="8" fillId="0" borderId="24" xfId="3" applyNumberFormat="1" applyFont="1" applyFill="1" applyBorder="1" applyAlignment="1">
      <alignment horizontal="center" vertical="center" wrapText="1"/>
    </xf>
    <xf numFmtId="0" fontId="9" fillId="0" borderId="0" xfId="0" applyFont="1" applyAlignment="1">
      <alignment horizontal="left" vertical="center" wrapText="1"/>
    </xf>
    <xf numFmtId="0" fontId="10" fillId="0" borderId="0" xfId="0" applyFont="1" applyAlignment="1">
      <alignment horizontal="left" vertical="center" wrapText="1"/>
    </xf>
    <xf numFmtId="0" fontId="10" fillId="0" borderId="0" xfId="0" applyFont="1" applyAlignment="1">
      <alignment horizontal="right" vertical="center" wrapText="1"/>
    </xf>
    <xf numFmtId="43" fontId="3" fillId="0" borderId="0" xfId="0" applyNumberFormat="1" applyFont="1" applyBorder="1" applyAlignment="1">
      <alignment horizontal="center" vertical="center"/>
    </xf>
    <xf numFmtId="4" fontId="3" fillId="0" borderId="26" xfId="0" applyNumberFormat="1" applyFont="1" applyBorder="1" applyAlignment="1">
      <alignment horizontal="center" vertical="center"/>
    </xf>
    <xf numFmtId="4" fontId="3" fillId="0" borderId="15" xfId="0" applyNumberFormat="1" applyFont="1" applyBorder="1" applyAlignment="1">
      <alignment horizontal="center" vertical="center"/>
    </xf>
    <xf numFmtId="4" fontId="3" fillId="0" borderId="33" xfId="0" applyNumberFormat="1" applyFont="1" applyBorder="1" applyAlignment="1">
      <alignment horizontal="center" vertical="center"/>
    </xf>
    <xf numFmtId="0" fontId="4" fillId="0" borderId="5" xfId="0" applyFont="1" applyFill="1" applyBorder="1" applyAlignment="1">
      <alignment horizontal="center" vertical="center" wrapText="1"/>
    </xf>
    <xf numFmtId="0" fontId="4" fillId="0" borderId="39" xfId="0" applyFont="1" applyFill="1" applyBorder="1" applyAlignment="1">
      <alignment horizontal="center" vertical="center" wrapText="1"/>
    </xf>
    <xf numFmtId="0" fontId="5" fillId="0" borderId="31" xfId="0" applyFont="1" applyBorder="1" applyAlignment="1">
      <alignment horizontal="center" vertical="center"/>
    </xf>
    <xf numFmtId="0" fontId="5" fillId="0" borderId="19" xfId="0" applyFont="1" applyBorder="1" applyAlignment="1">
      <alignment horizontal="center" vertical="center"/>
    </xf>
    <xf numFmtId="0" fontId="5" fillId="0" borderId="32" xfId="0" applyFont="1" applyBorder="1" applyAlignment="1">
      <alignment horizontal="center" vertical="center"/>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0" xfId="0" applyFont="1" applyBorder="1" applyAlignment="1">
      <alignment horizontal="center" vertical="center" wrapText="1"/>
    </xf>
    <xf numFmtId="0" fontId="4" fillId="0" borderId="5"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8"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10" xfId="0" applyFont="1" applyFill="1" applyBorder="1" applyAlignment="1">
      <alignment horizontal="center" vertical="center" wrapText="1"/>
    </xf>
  </cellXfs>
  <cellStyles count="5">
    <cellStyle name="Millares" xfId="1" builtinId="3"/>
    <cellStyle name="Moneda" xfId="2" builtinId="4"/>
    <cellStyle name="Normal" xfId="0" builtinId="0"/>
    <cellStyle name="Normal 2" xfId="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180975</xdr:colOff>
      <xdr:row>3</xdr:row>
      <xdr:rowOff>85726</xdr:rowOff>
    </xdr:from>
    <xdr:to>
      <xdr:col>5</xdr:col>
      <xdr:colOff>66675</xdr:colOff>
      <xdr:row>30</xdr:row>
      <xdr:rowOff>26234</xdr:rowOff>
    </xdr:to>
    <xdr:pic>
      <xdr:nvPicPr>
        <xdr:cNvPr id="2" name="Imagen 1"/>
        <xdr:cNvPicPr>
          <a:picLocks noChangeAspect="1"/>
        </xdr:cNvPicPr>
      </xdr:nvPicPr>
      <xdr:blipFill>
        <a:blip xmlns:r="http://schemas.openxmlformats.org/officeDocument/2006/relationships" r:embed="rId1"/>
        <a:stretch>
          <a:fillRect/>
        </a:stretch>
      </xdr:blipFill>
      <xdr:spPr>
        <a:xfrm>
          <a:off x="180975" y="2590801"/>
          <a:ext cx="7543800" cy="5084008"/>
        </a:xfrm>
        <a:prstGeom prst="rect">
          <a:avLst/>
        </a:prstGeom>
      </xdr:spPr>
    </xdr:pic>
    <xdr:clientData/>
  </xdr:twoCellAnchor>
  <xdr:twoCellAnchor editAs="oneCell">
    <xdr:from>
      <xdr:col>0</xdr:col>
      <xdr:colOff>152401</xdr:colOff>
      <xdr:row>5</xdr:row>
      <xdr:rowOff>152400</xdr:rowOff>
    </xdr:from>
    <xdr:to>
      <xdr:col>4</xdr:col>
      <xdr:colOff>1455831</xdr:colOff>
      <xdr:row>22</xdr:row>
      <xdr:rowOff>15986</xdr:rowOff>
    </xdr:to>
    <xdr:pic>
      <xdr:nvPicPr>
        <xdr:cNvPr id="3" name="Imagen 2">
          <a:extLst>
            <a:ext uri="{FF2B5EF4-FFF2-40B4-BE49-F238E27FC236}">
              <a16:creationId xmlns:a16="http://schemas.microsoft.com/office/drawing/2014/main" id="{96AFDF67-2507-11BF-CE00-AF11505BB20A}"/>
            </a:ext>
          </a:extLst>
        </xdr:cNvPr>
        <xdr:cNvPicPr>
          <a:picLocks noChangeAspect="1"/>
        </xdr:cNvPicPr>
      </xdr:nvPicPr>
      <xdr:blipFill>
        <a:blip xmlns:r="http://schemas.openxmlformats.org/officeDocument/2006/relationships" r:embed="rId2"/>
        <a:stretch>
          <a:fillRect/>
        </a:stretch>
      </xdr:blipFill>
      <xdr:spPr>
        <a:xfrm>
          <a:off x="152401" y="3038475"/>
          <a:ext cx="7437530" cy="31020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8"/>
  <sheetViews>
    <sheetView tabSelected="1" topLeftCell="D1" zoomScale="80" zoomScaleNormal="80" workbookViewId="0">
      <selection activeCell="G1" sqref="G1:H1"/>
    </sheetView>
  </sheetViews>
  <sheetFormatPr baseColWidth="10" defaultColWidth="11.44140625" defaultRowHeight="13.2" x14ac:dyDescent="0.25"/>
  <cols>
    <col min="1" max="1" width="11.44140625" style="1"/>
    <col min="2" max="2" width="12.88671875" style="28" customWidth="1"/>
    <col min="3" max="3" width="17.33203125" style="28" customWidth="1"/>
    <col min="4" max="4" width="55.109375" style="1" customWidth="1"/>
    <col min="5" max="5" width="15.33203125" style="1" customWidth="1"/>
    <col min="6" max="6" width="14.44140625" style="1" hidden="1" customWidth="1"/>
    <col min="7" max="8" width="21.109375" style="5" customWidth="1"/>
    <col min="9" max="10" width="20.88671875" style="1" customWidth="1"/>
    <col min="11" max="13" width="16.33203125" style="1" customWidth="1"/>
    <col min="14" max="14" width="13.6640625" style="1" customWidth="1"/>
    <col min="15" max="15" width="14.109375" style="1" customWidth="1"/>
    <col min="16" max="16" width="17.88671875" style="1" customWidth="1"/>
    <col min="17" max="17" width="3.6640625" style="1" customWidth="1"/>
    <col min="18" max="18" width="16.44140625" style="1" hidden="1" customWidth="1"/>
    <col min="19" max="16384" width="11.44140625" style="1"/>
  </cols>
  <sheetData>
    <row r="1" spans="1:18" ht="43.5" customHeight="1" thickBot="1" x14ac:dyDescent="0.3">
      <c r="A1" s="78" t="s">
        <v>32</v>
      </c>
      <c r="B1" s="80" t="s">
        <v>10</v>
      </c>
      <c r="C1" s="80" t="s">
        <v>11</v>
      </c>
      <c r="D1" s="80" t="s">
        <v>12</v>
      </c>
      <c r="E1" s="80" t="s">
        <v>13</v>
      </c>
      <c r="F1" s="82" t="s">
        <v>0</v>
      </c>
      <c r="G1" s="70" t="s">
        <v>25</v>
      </c>
      <c r="H1" s="71"/>
      <c r="I1" s="41" t="s">
        <v>31</v>
      </c>
      <c r="J1" s="51" t="s">
        <v>9</v>
      </c>
      <c r="K1" s="72" t="s">
        <v>1</v>
      </c>
      <c r="L1" s="73"/>
      <c r="M1" s="73"/>
      <c r="N1" s="73"/>
      <c r="O1" s="74"/>
      <c r="P1" s="75" t="s">
        <v>2</v>
      </c>
      <c r="Q1" s="77"/>
      <c r="R1" s="75" t="s">
        <v>33</v>
      </c>
    </row>
    <row r="2" spans="1:18" ht="55.8" thickBot="1" x14ac:dyDescent="0.3">
      <c r="A2" s="79"/>
      <c r="B2" s="81"/>
      <c r="C2" s="81"/>
      <c r="D2" s="81"/>
      <c r="E2" s="81"/>
      <c r="F2" s="83"/>
      <c r="G2" s="61" t="s">
        <v>3</v>
      </c>
      <c r="H2" s="62" t="s">
        <v>26</v>
      </c>
      <c r="I2" s="58" t="s">
        <v>30</v>
      </c>
      <c r="J2" s="52" t="s">
        <v>29</v>
      </c>
      <c r="K2" s="9" t="s">
        <v>4</v>
      </c>
      <c r="L2" s="10" t="s">
        <v>5</v>
      </c>
      <c r="M2" s="19" t="s">
        <v>6</v>
      </c>
      <c r="N2" s="9" t="s">
        <v>7</v>
      </c>
      <c r="O2" s="11" t="s">
        <v>8</v>
      </c>
      <c r="P2" s="76"/>
      <c r="Q2" s="77"/>
      <c r="R2" s="76"/>
    </row>
    <row r="3" spans="1:18" ht="38.25" customHeight="1" x14ac:dyDescent="0.25">
      <c r="A3" s="37">
        <v>1</v>
      </c>
      <c r="B3" s="38" t="s">
        <v>16</v>
      </c>
      <c r="C3" s="38" t="s">
        <v>14</v>
      </c>
      <c r="D3" s="39" t="s">
        <v>19</v>
      </c>
      <c r="E3" s="40" t="s">
        <v>15</v>
      </c>
      <c r="F3" s="6">
        <v>6</v>
      </c>
      <c r="G3" s="7">
        <v>760830.85</v>
      </c>
      <c r="H3" s="47">
        <f>+ROUND(G3*1.051,0)</f>
        <v>799633</v>
      </c>
      <c r="I3" s="57">
        <v>130636</v>
      </c>
      <c r="J3" s="42">
        <v>553500</v>
      </c>
      <c r="K3" s="12">
        <f>ROUNDUP(AVERAGE(H3,J3,I3),0)</f>
        <v>494590</v>
      </c>
      <c r="L3" s="8">
        <f>ROUNDUP(MEDIAN(H3,J3,I3),0)</f>
        <v>553500</v>
      </c>
      <c r="M3" s="16">
        <f>ROUNDUP(HARMEAN(H3,J3,I3),0)</f>
        <v>280057</v>
      </c>
      <c r="N3" s="20">
        <f>STDEV(H3:J3)</f>
        <v>338366.76407758094</v>
      </c>
      <c r="O3" s="53">
        <f>+N3/K3</f>
        <v>0.68413587835900636</v>
      </c>
      <c r="P3" s="23">
        <f>+K3</f>
        <v>494590</v>
      </c>
      <c r="Q3" s="66"/>
      <c r="R3" s="67">
        <f>+P3*F3</f>
        <v>2967540</v>
      </c>
    </row>
    <row r="4" spans="1:18" ht="38.25" customHeight="1" x14ac:dyDescent="0.25">
      <c r="A4" s="3">
        <v>2</v>
      </c>
      <c r="B4" s="25" t="s">
        <v>16</v>
      </c>
      <c r="C4" s="25" t="s">
        <v>17</v>
      </c>
      <c r="D4" s="26" t="s">
        <v>20</v>
      </c>
      <c r="E4" s="24" t="s">
        <v>15</v>
      </c>
      <c r="F4" s="4">
        <v>0</v>
      </c>
      <c r="G4" s="43" t="s">
        <v>27</v>
      </c>
      <c r="H4" s="48" t="s">
        <v>27</v>
      </c>
      <c r="I4" s="55">
        <v>337064</v>
      </c>
      <c r="J4" s="44">
        <v>1479690</v>
      </c>
      <c r="K4" s="13">
        <f>ROUNDUP(AVERAGE(H4,J4,I3),0)</f>
        <v>805163</v>
      </c>
      <c r="L4" s="2">
        <f>ROUNDUP(MEDIAN(H4,J4,I3),0)</f>
        <v>805163</v>
      </c>
      <c r="M4" s="17">
        <f>ROUNDUP(HARMEAN(H4,J4,I3),0)</f>
        <v>240077</v>
      </c>
      <c r="N4" s="21">
        <f>STDEV(H4,J4,I3)</f>
        <v>953925.23158683663</v>
      </c>
      <c r="O4" s="54">
        <f>+N4/K4</f>
        <v>1.184760392103011</v>
      </c>
      <c r="P4" s="23">
        <f t="shared" ref="P4:P6" si="0">+K4</f>
        <v>805163</v>
      </c>
      <c r="Q4" s="66"/>
      <c r="R4" s="67">
        <f>+P4*F4</f>
        <v>0</v>
      </c>
    </row>
    <row r="5" spans="1:18" ht="38.25" customHeight="1" x14ac:dyDescent="0.25">
      <c r="A5" s="31">
        <v>3</v>
      </c>
      <c r="B5" s="25" t="s">
        <v>16</v>
      </c>
      <c r="C5" s="25" t="s">
        <v>18</v>
      </c>
      <c r="D5" s="27" t="s">
        <v>28</v>
      </c>
      <c r="E5" s="24" t="s">
        <v>15</v>
      </c>
      <c r="F5" s="4">
        <v>1</v>
      </c>
      <c r="G5" s="7">
        <v>4229793.96</v>
      </c>
      <c r="H5" s="49">
        <f t="shared" ref="H5:H6" si="1">+ROUND(G5*1.051,0)</f>
        <v>4445513</v>
      </c>
      <c r="I5" s="55">
        <v>726261</v>
      </c>
      <c r="J5" s="44">
        <v>3247200</v>
      </c>
      <c r="K5" s="13">
        <f>ROUNDUP(AVERAGE(J5,I4),0)</f>
        <v>1792132</v>
      </c>
      <c r="L5" s="2">
        <f>ROUNDUP(MEDIAN(J5,I4),0)</f>
        <v>1792132</v>
      </c>
      <c r="M5" s="17">
        <f>ROUNDUP(HARMEAN(J5,I4),0)</f>
        <v>610734</v>
      </c>
      <c r="N5" s="21">
        <f>STDEV(J5,I4)</f>
        <v>2057776.8997750946</v>
      </c>
      <c r="O5" s="54">
        <f>+N5/K5</f>
        <v>1.1482284227808524</v>
      </c>
      <c r="P5" s="23">
        <f t="shared" si="0"/>
        <v>1792132</v>
      </c>
      <c r="Q5" s="66"/>
      <c r="R5" s="67">
        <f>+P5*F5</f>
        <v>1792132</v>
      </c>
    </row>
    <row r="6" spans="1:18" ht="38.25" customHeight="1" thickBot="1" x14ac:dyDescent="0.3">
      <c r="A6" s="32">
        <v>4</v>
      </c>
      <c r="B6" s="33" t="s">
        <v>24</v>
      </c>
      <c r="C6" s="33" t="s">
        <v>21</v>
      </c>
      <c r="D6" s="34" t="s">
        <v>22</v>
      </c>
      <c r="E6" s="35" t="s">
        <v>23</v>
      </c>
      <c r="F6" s="36">
        <f>18000/500</f>
        <v>36</v>
      </c>
      <c r="G6" s="45">
        <v>831064.80111111107</v>
      </c>
      <c r="H6" s="50">
        <f t="shared" si="1"/>
        <v>873449</v>
      </c>
      <c r="I6" s="56">
        <v>1081608</v>
      </c>
      <c r="J6" s="46">
        <v>1100000</v>
      </c>
      <c r="K6" s="14">
        <f>ROUNDUP(AVERAGE(J6,I5),0)</f>
        <v>913131</v>
      </c>
      <c r="L6" s="15">
        <f>ROUNDUP(MEDIAN(J6,I5),0)</f>
        <v>913131</v>
      </c>
      <c r="M6" s="18">
        <f>ROUNDUP(HARMEAN(J6,I5),0)</f>
        <v>874889</v>
      </c>
      <c r="N6" s="22">
        <f>STDEV(J6,I5)</f>
        <v>264273.38129387907</v>
      </c>
      <c r="O6" s="59">
        <f>+N6/K6</f>
        <v>0.28941453230027131</v>
      </c>
      <c r="P6" s="60">
        <f t="shared" si="0"/>
        <v>913131</v>
      </c>
      <c r="Q6" s="66"/>
      <c r="R6" s="68">
        <f>+P6*F6</f>
        <v>32872716</v>
      </c>
    </row>
    <row r="7" spans="1:18" ht="17.25" customHeight="1" thickBot="1" x14ac:dyDescent="0.3">
      <c r="Q7" s="5"/>
      <c r="R7" s="68">
        <f>SUM(R3:R6)</f>
        <v>37632388</v>
      </c>
    </row>
    <row r="8" spans="1:18" x14ac:dyDescent="0.25">
      <c r="Q8" s="5"/>
      <c r="R8" s="69" t="s">
        <v>34</v>
      </c>
    </row>
    <row r="9" spans="1:18" ht="17.25" customHeight="1" thickBot="1" x14ac:dyDescent="0.3">
      <c r="Q9" s="5"/>
      <c r="R9" s="68">
        <v>299266556.19999999</v>
      </c>
    </row>
    <row r="10" spans="1:18" ht="14.25" customHeight="1" thickBot="1" x14ac:dyDescent="0.3">
      <c r="Q10" s="5"/>
      <c r="R10" s="68">
        <f>+R9/R7</f>
        <v>7.9523668867359678</v>
      </c>
    </row>
    <row r="11" spans="1:18" x14ac:dyDescent="0.25">
      <c r="Q11" s="5"/>
      <c r="R11" s="5"/>
    </row>
    <row r="12" spans="1:18" x14ac:dyDescent="0.25">
      <c r="Q12" s="5"/>
    </row>
    <row r="13" spans="1:18" x14ac:dyDescent="0.25">
      <c r="Q13" s="5"/>
    </row>
    <row r="14" spans="1:18" x14ac:dyDescent="0.25">
      <c r="Q14" s="5"/>
    </row>
    <row r="25" spans="5:6" x14ac:dyDescent="0.25">
      <c r="E25" s="63"/>
      <c r="F25" s="29"/>
    </row>
    <row r="26" spans="5:6" x14ac:dyDescent="0.25">
      <c r="E26" s="64"/>
    </row>
    <row r="27" spans="5:6" x14ac:dyDescent="0.25">
      <c r="E27" s="65"/>
    </row>
    <row r="28" spans="5:6" x14ac:dyDescent="0.25">
      <c r="E28" s="65"/>
    </row>
  </sheetData>
  <mergeCells count="11">
    <mergeCell ref="A1:A2"/>
    <mergeCell ref="B1:B2"/>
    <mergeCell ref="C1:C2"/>
    <mergeCell ref="D1:D2"/>
    <mergeCell ref="F1:F2"/>
    <mergeCell ref="E1:E2"/>
    <mergeCell ref="G1:H1"/>
    <mergeCell ref="K1:O1"/>
    <mergeCell ref="P1:P2"/>
    <mergeCell ref="R1:R2"/>
    <mergeCell ref="Q1:Q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2:C33"/>
  <sheetViews>
    <sheetView workbookViewId="0">
      <selection activeCell="J21" sqref="J21"/>
    </sheetView>
  </sheetViews>
  <sheetFormatPr baseColWidth="10" defaultColWidth="11.44140625" defaultRowHeight="14.4" x14ac:dyDescent="0.3"/>
  <cols>
    <col min="1" max="1" width="18.88671875" customWidth="1"/>
    <col min="2" max="2" width="22.88671875" customWidth="1"/>
    <col min="3" max="3" width="27.44140625" customWidth="1"/>
    <col min="4" max="6" width="22.88671875" customWidth="1"/>
  </cols>
  <sheetData>
    <row r="32" spans="2:3" x14ac:dyDescent="0.3">
      <c r="B32" s="30">
        <v>7479583.21</v>
      </c>
      <c r="C32" s="30">
        <f>+B32/9</f>
        <v>831064.80111111107</v>
      </c>
    </row>
    <row r="33" spans="3:3" x14ac:dyDescent="0.3">
      <c r="C33" s="30">
        <f>+C32*60*9</f>
        <v>448774992.59999996</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MARIANA.CHIVATA</dc:creator>
  <cp:keywords/>
  <dc:description/>
  <cp:lastModifiedBy>Yurley Amaya Acosta</cp:lastModifiedBy>
  <cp:revision/>
  <dcterms:created xsi:type="dcterms:W3CDTF">2025-06-18T15:31:48Z</dcterms:created>
  <dcterms:modified xsi:type="dcterms:W3CDTF">2026-03-29T23:17:09Z</dcterms:modified>
  <cp:category/>
  <cp:contentStatus/>
</cp:coreProperties>
</file>