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D:\USUARIO\Desktop\IOLAVORANDO\LICITACIONES\SAN RAFAEL\2026\2. ABR-AGOS- 2026\ANEXOS\"/>
    </mc:Choice>
  </mc:AlternateContent>
  <xr:revisionPtr revIDLastSave="0" documentId="13_ncr:1_{6B4B47D8-2ABB-4343-80E5-FD615DFA31B7}" xr6:coauthVersionLast="47" xr6:coauthVersionMax="47" xr10:uidLastSave="{00000000-0000-0000-0000-000000000000}"/>
  <workbookProtection workbookAlgorithmName="SHA-512" workbookHashValue="1a4VZdMFU09lT0li6mzSZX0kMzOORVajRId6rjfRMKjnzpRc1e5eH1hT3oSXtw3sbpFn/CHVPZh2O0ZrldINpQ==" workbookSaltValue="jHlFomiAspSeu1uw7IsP8w==" workbookSpinCount="100000" lockStructure="1"/>
  <bookViews>
    <workbookView xWindow="-120" yWindow="-120" windowWidth="29040" windowHeight="15720" xr2:uid="{1D58C878-55BD-4D35-95C9-5AB74292701D}"/>
  </bookViews>
  <sheets>
    <sheet name="ASISTENCIALES Proy 174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</externalReferences>
  <definedNames>
    <definedName name="__10Excel_BuiltIn_Print_Area_1_1_1_1_1_1_1_1_1_1_1_1_1_1_1" localSheetId="0">#REF!</definedName>
    <definedName name="__10Excel_BuiltIn_Print_Area_1_1_1_1_1_1_1_1_1_1_1_1_1_1_1">#REF!</definedName>
    <definedName name="__11Excel_BuiltIn_Print_Area_1_1_1_1_1_1_1_1_1_1_1_1_1_1_1_1" localSheetId="0">#REF!</definedName>
    <definedName name="__11Excel_BuiltIn_Print_Area_1_1_1_1_1_1_1_1_1_1_1_1_1_1_1_1">#REF!</definedName>
    <definedName name="__12Excel_BuiltIn_Print_Titles_1_1" localSheetId="0">#REF!,#REF!</definedName>
    <definedName name="__12Excel_BuiltIn_Print_Titles_1_1">#REF!,#REF!</definedName>
    <definedName name="__13Excel_BuiltIn_Print_Titles_1_1_1" localSheetId="0">#REF!,#REF!</definedName>
    <definedName name="__13Excel_BuiltIn_Print_Titles_1_1_1">#REF!,#REF!</definedName>
    <definedName name="__14Excel_BuiltIn_Print_Titles_1_1_1_1" localSheetId="0">#REF!,#REF!</definedName>
    <definedName name="__14Excel_BuiltIn_Print_Titles_1_1_1_1">#REF!,#REF!</definedName>
    <definedName name="__15Excel_BuiltIn_Print_Titles_1_1_1_1_1" localSheetId="0">#REF!,#REF!</definedName>
    <definedName name="__15Excel_BuiltIn_Print_Titles_1_1_1_1_1">#REF!,#REF!</definedName>
    <definedName name="__16Excel_BuiltIn_Print_Titles_1_1_1_1_1_1" localSheetId="0">#REF!,#REF!</definedName>
    <definedName name="__16Excel_BuiltIn_Print_Titles_1_1_1_1_1_1">#REF!,#REF!</definedName>
    <definedName name="__17Excel_BuiltIn_Print_Titles_1_1_1_1_1_1_1_1" localSheetId="0">#REF!,#REF!</definedName>
    <definedName name="__17Excel_BuiltIn_Print_Titles_1_1_1_1_1_1_1_1">#REF!,#REF!</definedName>
    <definedName name="__18Sin_nombre" localSheetId="0">#REF!</definedName>
    <definedName name="__18Sin_nombre">#REF!</definedName>
    <definedName name="__1Excel_BuiltIn_Print_Area_1_1_1" localSheetId="0">#REF!</definedName>
    <definedName name="__1Excel_BuiltIn_Print_Area_1_1_1">#REF!</definedName>
    <definedName name="__2Excel_BuiltIn_Print_Area_1_1_1_1" localSheetId="0">#REF!</definedName>
    <definedName name="__2Excel_BuiltIn_Print_Area_1_1_1_1">#REF!</definedName>
    <definedName name="__3Excel_BuiltIn_Print_Area_1_1_1_1_1" localSheetId="0">#REF!</definedName>
    <definedName name="__3Excel_BuiltIn_Print_Area_1_1_1_1_1">#REF!</definedName>
    <definedName name="__4Excel_BuiltIn_Print_Area_1_1_1_1_1_1" localSheetId="0">#REF!</definedName>
    <definedName name="__4Excel_BuiltIn_Print_Area_1_1_1_1_1_1">#REF!</definedName>
    <definedName name="__5Excel_BuiltIn_Print_Area_1_1_1_1_1_1_1" localSheetId="0">#REF!</definedName>
    <definedName name="__5Excel_BuiltIn_Print_Area_1_1_1_1_1_1_1">#REF!</definedName>
    <definedName name="__6Excel_BuiltIn_Print_Area_1_1_1_1_1_1_1_1" localSheetId="0">#REF!</definedName>
    <definedName name="__6Excel_BuiltIn_Print_Area_1_1_1_1_1_1_1_1">#REF!</definedName>
    <definedName name="__7Excel_BuiltIn_Print_Area_1_1_1_1_1_1_1_1_1" localSheetId="0">#REF!</definedName>
    <definedName name="__7Excel_BuiltIn_Print_Area_1_1_1_1_1_1_1_1_1">#REF!</definedName>
    <definedName name="__8Excel_BuiltIn_Print_Area_1_1_1_1_1_1_1_1_1_1" localSheetId="0">#REF!</definedName>
    <definedName name="__8Excel_BuiltIn_Print_Area_1_1_1_1_1_1_1_1_1_1">#REF!</definedName>
    <definedName name="__9Excel_BuiltIn_Print_Area_1_1_1_1_1_1_1_1_1_1_1" localSheetId="0">#REF!</definedName>
    <definedName name="__9Excel_BuiltIn_Print_Area_1_1_1_1_1_1_1_1_1_1_1">#REF!</definedName>
    <definedName name="_101Excel_BuiltIn_Print_Area_1_1_1_1_1_1_1_1_1_1_1_1_1_1_1" localSheetId="0">#REF!</definedName>
    <definedName name="_101Excel_BuiltIn_Print_Area_1_1_1_1_1_1_1_1_1_1_1_1_1_1_1">#REF!</definedName>
    <definedName name="_103Excel_BuiltIn_Print_Area_1_1_1_1_1_1_1_1_1_1_1_1_1_1_1_1" localSheetId="0">#REF!</definedName>
    <definedName name="_103Excel_BuiltIn_Print_Area_1_1_1_1_1_1_1_1_1_1_1_1_1_1_1_1">#REF!</definedName>
    <definedName name="_10Excel_BuiltIn_Print_Area_1_1_1_1_1_1_1_1_1_1_1_1_1_1_1" localSheetId="0">#REF!</definedName>
    <definedName name="_10Excel_BuiltIn_Print_Area_1_1_1_1_1_1_1_1_1_1_1_1_1_1_1">#REF!</definedName>
    <definedName name="_114Excel_BuiltIn_Print_Titles_1_1" localSheetId="0">#REF!,#REF!</definedName>
    <definedName name="_114Excel_BuiltIn_Print_Titles_1_1">#REF!,#REF!</definedName>
    <definedName name="_11Excel_BuiltIn_Print_Area_1_1_1" localSheetId="0">#REF!</definedName>
    <definedName name="_11Excel_BuiltIn_Print_Area_1_1_1">#REF!</definedName>
    <definedName name="_11Excel_BuiltIn_Print_Area_1_1_1_1_1_1_1_1_1_1_1_1_1_1_1_1" localSheetId="0">#REF!</definedName>
    <definedName name="_11Excel_BuiltIn_Print_Area_1_1_1_1_1_1_1_1_1_1_1_1_1_1_1_1">#REF!</definedName>
    <definedName name="_125Excel_BuiltIn_Print_Titles_1_1_1" localSheetId="0">#REF!,#REF!</definedName>
    <definedName name="_125Excel_BuiltIn_Print_Titles_1_1_1">#REF!,#REF!</definedName>
    <definedName name="_12Excel_BuiltIn_Print_Titles_1_1" localSheetId="0">#REF!,#REF!</definedName>
    <definedName name="_12Excel_BuiltIn_Print_Titles_1_1">#REF!,#REF!</definedName>
    <definedName name="_136Excel_BuiltIn_Print_Titles_1_1_1_1" localSheetId="0">#REF!,#REF!</definedName>
    <definedName name="_136Excel_BuiltIn_Print_Titles_1_1_1_1">#REF!,#REF!</definedName>
    <definedName name="_13Excel_BuiltIn_Print_Titles_1_1_1" localSheetId="0">#REF!,#REF!</definedName>
    <definedName name="_13Excel_BuiltIn_Print_Titles_1_1_1">#REF!,#REF!</definedName>
    <definedName name="_147Excel_BuiltIn_Print_Titles_1_1_1_1_1" localSheetId="0">#REF!,#REF!</definedName>
    <definedName name="_147Excel_BuiltIn_Print_Titles_1_1_1_1_1">#REF!,#REF!</definedName>
    <definedName name="_14Excel_BuiltIn_Print_Titles_1_1_1_1" localSheetId="0">#REF!,#REF!</definedName>
    <definedName name="_14Excel_BuiltIn_Print_Titles_1_1_1_1">#REF!,#REF!</definedName>
    <definedName name="_158Excel_BuiltIn_Print_Titles_1_1_1_1_1_1" localSheetId="0">#REF!,#REF!</definedName>
    <definedName name="_158Excel_BuiltIn_Print_Titles_1_1_1_1_1_1">#REF!,#REF!</definedName>
    <definedName name="_15Excel_BuiltIn_Print_Titles_1_1_1_1_1" localSheetId="0">#REF!,#REF!</definedName>
    <definedName name="_15Excel_BuiltIn_Print_Titles_1_1_1_1_1">#REF!,#REF!</definedName>
    <definedName name="_169Excel_BuiltIn_Print_Titles_1_1_1_1_1_1_1_1" localSheetId="0">#REF!,#REF!</definedName>
    <definedName name="_169Excel_BuiltIn_Print_Titles_1_1_1_1_1_1_1_1">#REF!,#REF!</definedName>
    <definedName name="_16Excel_BuiltIn_Print_Titles_1_1_1_1_1_1" localSheetId="0">#REF!,#REF!</definedName>
    <definedName name="_16Excel_BuiltIn_Print_Titles_1_1_1_1_1_1">#REF!,#REF!</definedName>
    <definedName name="_17Excel_BuiltIn_Print_Titles_1_1_1_1_1_1_1_1" localSheetId="0">#REF!,#REF!</definedName>
    <definedName name="_17Excel_BuiltIn_Print_Titles_1_1_1_1_1_1_1_1">#REF!,#REF!</definedName>
    <definedName name="_181Sin_nombre" localSheetId="0">#REF!</definedName>
    <definedName name="_181Sin_nombre">#REF!</definedName>
    <definedName name="_18Sin_nombre" localSheetId="0">#REF!</definedName>
    <definedName name="_18Sin_nombre">#REF!</definedName>
    <definedName name="_19Sin_nombre" localSheetId="0">#REF!</definedName>
    <definedName name="_19Sin_nombre">#REF!</definedName>
    <definedName name="_1Excel_BuiltIn_Print_Area_1_1_1" localSheetId="0">#REF!</definedName>
    <definedName name="_1Excel_BuiltIn_Print_Area_1_1_1">#REF!</definedName>
    <definedName name="_1Sin_nombre" localSheetId="0">#REF!</definedName>
    <definedName name="_1Sin_nombre">#REF!</definedName>
    <definedName name="_20Sin_nombre" localSheetId="0">#REF!</definedName>
    <definedName name="_20Sin_nombre">#REF!</definedName>
    <definedName name="_22Excel_BuiltIn_Print_Area_1_1_1_1" localSheetId="0">#REF!</definedName>
    <definedName name="_22Excel_BuiltIn_Print_Area_1_1_1_1">#REF!</definedName>
    <definedName name="_2Excel_BuiltIn_Print_Area_1_1_1_1" localSheetId="0">#REF!</definedName>
    <definedName name="_2Excel_BuiltIn_Print_Area_1_1_1_1">#REF!</definedName>
    <definedName name="_2Sin_nombre" localSheetId="0">#REF!</definedName>
    <definedName name="_2Sin_nombre">#REF!</definedName>
    <definedName name="_2Sin_nombre_0" localSheetId="0">#REF!</definedName>
    <definedName name="_2Sin_nombre_0">#REF!</definedName>
    <definedName name="_33Excel_BuiltIn_Print_Area_1_1_1_1_1" localSheetId="0">#REF!</definedName>
    <definedName name="_33Excel_BuiltIn_Print_Area_1_1_1_1_1">#REF!</definedName>
    <definedName name="_3Excel_BuiltIn_Print_Area_1_1_1_1_1" localSheetId="0">#REF!</definedName>
    <definedName name="_3Excel_BuiltIn_Print_Area_1_1_1_1_1">#REF!</definedName>
    <definedName name="_44Excel_BuiltIn_Print_Area_1_1_1_1_1_1" localSheetId="0">#REF!</definedName>
    <definedName name="_44Excel_BuiltIn_Print_Area_1_1_1_1_1_1">#REF!</definedName>
    <definedName name="_46Excel_BuiltIn_Print_Area_1_1_1_1_1_1_1" localSheetId="0">#REF!</definedName>
    <definedName name="_46Excel_BuiltIn_Print_Area_1_1_1_1_1_1_1">#REF!</definedName>
    <definedName name="_4Excel_BuiltIn_Print_Area_1_1_1_1_1_1" localSheetId="0">#REF!</definedName>
    <definedName name="_4Excel_BuiltIn_Print_Area_1_1_1_1_1_1">#REF!</definedName>
    <definedName name="_57Excel_BuiltIn_Print_Area_1_1_1_1_1_1_1_1" localSheetId="0">#REF!</definedName>
    <definedName name="_57Excel_BuiltIn_Print_Area_1_1_1_1_1_1_1_1">#REF!</definedName>
    <definedName name="_5Excel_BuiltIn_Print_Area_1_1_1_1_1_1_1" localSheetId="0">#REF!</definedName>
    <definedName name="_5Excel_BuiltIn_Print_Area_1_1_1_1_1_1_1">#REF!</definedName>
    <definedName name="_68Excel_BuiltIn_Print_Area_1_1_1_1_1_1_1_1_1" localSheetId="0">#REF!</definedName>
    <definedName name="_68Excel_BuiltIn_Print_Area_1_1_1_1_1_1_1_1_1">#REF!</definedName>
    <definedName name="_6Excel_BuiltIn_Print_Area_1_1_1_1_1_1_1_1" localSheetId="0">#REF!</definedName>
    <definedName name="_6Excel_BuiltIn_Print_Area_1_1_1_1_1_1_1_1">#REF!</definedName>
    <definedName name="_79Excel_BuiltIn_Print_Area_1_1_1_1_1_1_1_1_1_1" localSheetId="0">#REF!</definedName>
    <definedName name="_79Excel_BuiltIn_Print_Area_1_1_1_1_1_1_1_1_1_1">#REF!</definedName>
    <definedName name="_7Excel_BuiltIn_Print_Area_1_1_1_1_1_1_1_1_1" localSheetId="0">#REF!</definedName>
    <definedName name="_7Excel_BuiltIn_Print_Area_1_1_1_1_1_1_1_1_1">#REF!</definedName>
    <definedName name="_8Excel_BuiltIn_Print_Area_1_1_1_1_1_1_1_1_1_1" localSheetId="0">#REF!</definedName>
    <definedName name="_8Excel_BuiltIn_Print_Area_1_1_1_1_1_1_1_1_1_1">#REF!</definedName>
    <definedName name="_90Excel_BuiltIn_Print_Area_1_1_1_1_1_1_1_1_1_1_1" localSheetId="0">#REF!</definedName>
    <definedName name="_90Excel_BuiltIn_Print_Area_1_1_1_1_1_1_1_1_1_1_1">#REF!</definedName>
    <definedName name="_9Excel_BuiltIn_Print_Area_1_1_1_1_1_1_1_1_1_1_1" localSheetId="0">#REF!</definedName>
    <definedName name="_9Excel_BuiltIn_Print_Area_1_1_1_1_1_1_1_1_1_1_1">#REF!</definedName>
    <definedName name="_xlnm._FilterDatabase" localSheetId="0" hidden="1">'ASISTENCIALES Proy 174'!$A$10:$AS$82</definedName>
    <definedName name="_xlnm._FilterDatabase" hidden="1">#REF!</definedName>
    <definedName name="ABRIL" localSheetId="0">#REF!</definedName>
    <definedName name="ABRIL">#REF!</definedName>
    <definedName name="ABRIL_4" localSheetId="0">#REF!</definedName>
    <definedName name="ABRIL_4">#REF!</definedName>
    <definedName name="ABRIL2Q" localSheetId="0">'ASISTENCIALES Proy 174'!$G$10:$AI$10</definedName>
    <definedName name="AGOSTO1Q" localSheetId="0">[1]NOMINA!#REF!</definedName>
    <definedName name="AGOSTO1Q">[1]NOMINA!#REF!</definedName>
    <definedName name="AGOSTO1Q_4" localSheetId="0">[2]NOMINA!#REF!</definedName>
    <definedName name="AGOSTO1Q_4">[2]NOMINA!#REF!</definedName>
    <definedName name="AGOSTO2Q" localSheetId="0">#REF!</definedName>
    <definedName name="AGOSTO2Q">#REF!</definedName>
    <definedName name="AGOSTO2QU">'[3]AGOSTO 16-30 '!$A$5:$AH$182</definedName>
    <definedName name="ANALISTA_DE_NOMINA" localSheetId="0">[4]LISTAS!$B$55:$B$62</definedName>
    <definedName name="ANALISTA_DE_NOMINA">[4]LISTAS!$B$55:$B$62</definedName>
    <definedName name="_xlnm.Print_Area" localSheetId="0">'ASISTENCIALES Proy 174'!$B$1:$AO$83</definedName>
    <definedName name="_xlnm.Print_Area">#REF!</definedName>
    <definedName name="ASDF" localSheetId="0">#REF!</definedName>
    <definedName name="ASDF">#REF!</definedName>
    <definedName name="asdfasdf" localSheetId="0">'ASISTENCIALES Proy 174'!$G:$I</definedName>
    <definedName name="CARICADA" localSheetId="0">#REF!</definedName>
    <definedName name="CARICADA">#REF!</definedName>
    <definedName name="comprobantes" localSheetId="0">'ASISTENCIALES Proy 174'!$G$10:$AO$10</definedName>
    <definedName name="COPRE" localSheetId="0">'ASISTENCIALES Proy 174'!#REF!</definedName>
    <definedName name="COPRE_3" localSheetId="0">[5]NOMINA!#REF!</definedName>
    <definedName name="COPRE_3">[5]NOMINA!#REF!</definedName>
    <definedName name="COPREVISION" localSheetId="0">'ASISTENCIALES Proy 174'!$H$8:$AI$10</definedName>
    <definedName name="CUENTA" localSheetId="0">[4]LISTAS!$B$31:$B$32</definedName>
    <definedName name="CUENTA">[4]LISTAS!$B$31:$B$32</definedName>
    <definedName name="DDD" localSheetId="0">#REF!</definedName>
    <definedName name="DDD">#REF!</definedName>
    <definedName name="DEF" localSheetId="0">#REF!</definedName>
    <definedName name="DEF">#REF!</definedName>
    <definedName name="documento" localSheetId="0">[6]Personas!$B$1:$B$65536</definedName>
    <definedName name="documento">[6]Personas!$B$1:$B$65536</definedName>
    <definedName name="Encabezados" localSheetId="0">#REF!</definedName>
    <definedName name="Encabezados">#REF!</definedName>
    <definedName name="EncabezadosNovedades" localSheetId="0">#REF!</definedName>
    <definedName name="EncabezadosNovedades">#REF!</definedName>
    <definedName name="EPS" localSheetId="0">#REF!</definedName>
    <definedName name="EPS">#REF!</definedName>
    <definedName name="Excel_BuiltIn__FilterDatabase_4" localSheetId="0">#REF!</definedName>
    <definedName name="Excel_BuiltIn__FilterDatabase_4">#REF!</definedName>
    <definedName name="Excel_BuiltIn_Print_Area" localSheetId="0">#REF!</definedName>
    <definedName name="Excel_BuiltIn_Print_Area">#REF!</definedName>
    <definedName name="Excel_BuiltIn_Print_Area_1" localSheetId="0">#REF!</definedName>
    <definedName name="Excel_BuiltIn_Print_Area_1">#REF!</definedName>
    <definedName name="Excel_BuiltIn_Print_Area_1_1" localSheetId="0">#REF!</definedName>
    <definedName name="Excel_BuiltIn_Print_Area_1_1">#REF!</definedName>
    <definedName name="Excel_BuiltIn_Print_Area_1_1_1" localSheetId="0">#REF!</definedName>
    <definedName name="Excel_BuiltIn_Print_Area_1_1_1">#REF!</definedName>
    <definedName name="Excel_BuiltIn_Print_Area_1_1_1_1" localSheetId="0">#REF!</definedName>
    <definedName name="Excel_BuiltIn_Print_Area_1_1_1_1">#REF!</definedName>
    <definedName name="Excel_BuiltIn_Print_Area_1_1_1_1_1" localSheetId="0">#REF!</definedName>
    <definedName name="Excel_BuiltIn_Print_Area_1_1_1_1_1">#REF!</definedName>
    <definedName name="Excel_BuiltIn_Print_Area_1_1_1_1_1_1" localSheetId="0">#REF!</definedName>
    <definedName name="Excel_BuiltIn_Print_Area_1_1_1_1_1_1">#REF!</definedName>
    <definedName name="Excel_BuiltIn_Print_Area_1_1_1_1_1_1_1" localSheetId="0">#REF!</definedName>
    <definedName name="Excel_BuiltIn_Print_Area_1_1_1_1_1_1_1">#REF!</definedName>
    <definedName name="Excel_BuiltIn_Print_Area_1_1_1_1_1_1_1_1" localSheetId="0">#REF!</definedName>
    <definedName name="Excel_BuiltIn_Print_Area_1_1_1_1_1_1_1_1">#REF!</definedName>
    <definedName name="Excel_BuiltIn_Print_Area_1_1_1_1_1_1_1_1_1" localSheetId="0">#REF!</definedName>
    <definedName name="Excel_BuiltIn_Print_Area_1_1_1_1_1_1_1_1_1">#REF!</definedName>
    <definedName name="Excel_BuiltIn_Print_Area_1_1_1_1_1_1_1_1_1_1" localSheetId="0">#REF!</definedName>
    <definedName name="Excel_BuiltIn_Print_Area_1_1_1_1_1_1_1_1_1_1">#REF!</definedName>
    <definedName name="Excel_BuiltIn_Print_Area_1_1_1_1_1_1_1_1_1_1_1" localSheetId="0">#REF!</definedName>
    <definedName name="Excel_BuiltIn_Print_Area_1_1_1_1_1_1_1_1_1_1_1">#REF!</definedName>
    <definedName name="Excel_BuiltIn_Print_Area_1_1_1_1_1_1_1_1_1_1_1_1" localSheetId="0">#REF!</definedName>
    <definedName name="Excel_BuiltIn_Print_Area_1_1_1_1_1_1_1_1_1_1_1_1">#REF!</definedName>
    <definedName name="Excel_BuiltIn_Print_Area_1_1_1_1_1_1_1_1_1_1_1_1_1" localSheetId="0">#REF!</definedName>
    <definedName name="Excel_BuiltIn_Print_Area_1_1_1_1_1_1_1_1_1_1_1_1_1">#REF!</definedName>
    <definedName name="Excel_BuiltIn_Print_Area_1_1_1_1_1_1_1_1_1_1_1_1_1_1" localSheetId="0">#REF!</definedName>
    <definedName name="Excel_BuiltIn_Print_Area_1_1_1_1_1_1_1_1_1_1_1_1_1_1">#REF!</definedName>
    <definedName name="Excel_BuiltIn_Print_Area_1_1_1_1_1_1_1_1_1_1_1_1_1_1_1" localSheetId="0">#REF!</definedName>
    <definedName name="Excel_BuiltIn_Print_Area_1_1_1_1_1_1_1_1_1_1_1_1_1_1_1">#REF!</definedName>
    <definedName name="Excel_BuiltIn_Print_Area_1_1_1_1_1_1_1_1_1_1_1_1_1_1_1_1" localSheetId="0">#REF!</definedName>
    <definedName name="Excel_BuiltIn_Print_Area_1_1_1_1_1_1_1_1_1_1_1_1_1_1_1_1">#REF!</definedName>
    <definedName name="Excel_BuiltIn_Print_Area_1_1_1_1_1_1_1_1_1_1_1_1_1_1_1_1_1" localSheetId="0">#REF!</definedName>
    <definedName name="Excel_BuiltIn_Print_Area_1_1_1_1_1_1_1_1_1_1_1_1_1_1_1_1_1">#REF!</definedName>
    <definedName name="Excel_BuiltIn_Print_Area_1_1_1_1_1_1_1_1_1_1_1_1_1_1_1_1_1_1" localSheetId="0">#REF!</definedName>
    <definedName name="Excel_BuiltIn_Print_Area_1_1_1_1_1_1_1_1_1_1_1_1_1_1_1_1_1_1">#REF!</definedName>
    <definedName name="Excel_BuiltIn_Print_Area_1_1_1_1_1_1_1_1_1_1_1_1_1_1_1_1_1_1_1" localSheetId="0">#REF!</definedName>
    <definedName name="Excel_BuiltIn_Print_Area_1_1_1_1_1_1_1_1_1_1_1_1_1_1_1_1_1_1_1">#REF!</definedName>
    <definedName name="Excel_BuiltIn_Print_Area_1_1_1_1_1_1_1_1_1_1_1_1_1_1_1_1_1_1_1_1" localSheetId="0">#REF!</definedName>
    <definedName name="Excel_BuiltIn_Print_Area_1_1_1_1_1_1_1_1_1_1_1_1_1_1_1_1_1_1_1_1">#REF!</definedName>
    <definedName name="Excel_BuiltIn_Print_Area_1_1_1_1_1_1_1_1_1_1_1_1_1_1_1_1_1_1_1_1_1" localSheetId="0">#REF!</definedName>
    <definedName name="Excel_BuiltIn_Print_Area_1_1_1_1_1_1_1_1_1_1_1_1_1_1_1_1_1_1_1_1_1">#REF!</definedName>
    <definedName name="Excel_BuiltIn_Print_Area_1_1_1_1_1_1_1_1_1_1_1_1_1_1_1_1_1_1_1_1_1_1" localSheetId="0">#REF!</definedName>
    <definedName name="Excel_BuiltIn_Print_Area_1_1_1_1_1_1_1_1_1_1_1_1_1_1_1_1_1_1_1_1_1_1">#REF!</definedName>
    <definedName name="Excel_BuiltIn_Print_Area_1_1_1_1_1_1_1_1_1_1_1_1_1_1_1_1_1_1_1_1_1_1_1" localSheetId="0">#REF!</definedName>
    <definedName name="Excel_BuiltIn_Print_Area_1_1_1_1_1_1_1_1_1_1_1_1_1_1_1_1_1_1_1_1_1_1_1">#REF!</definedName>
    <definedName name="Excel_BuiltIn_Print_Area_1_1_1_1_1_1_1_1_1_1_1_1_1_1_1_1_1_1_1_1_1_1_1_1" localSheetId="0">#REF!</definedName>
    <definedName name="Excel_BuiltIn_Print_Area_1_1_1_1_1_1_1_1_1_1_1_1_1_1_1_1_1_1_1_1_1_1_1_1">#REF!</definedName>
    <definedName name="Excel_BuiltIn_Print_Area_1_1_1_1_1_1_1_1_1_1_1_1_1_1_1_1_1_1_1_1_1_1_1_1_1" localSheetId="0">#REF!</definedName>
    <definedName name="Excel_BuiltIn_Print_Area_1_1_1_1_1_1_1_1_1_1_1_1_1_1_1_1_1_1_1_1_1_1_1_1_1">#REF!</definedName>
    <definedName name="Excel_BuiltIn_Print_Area_1_1_1_1_1_1_1_1_1_1_1_1_1_1_1_1_1_1_1_1_1_1_1_1_1_1" localSheetId="0">#REF!</definedName>
    <definedName name="Excel_BuiltIn_Print_Area_1_1_1_1_1_1_1_1_1_1_1_1_1_1_1_1_1_1_1_1_1_1_1_1_1_1">#REF!</definedName>
    <definedName name="Excel_BuiltIn_Print_Area_1_1_1_1_1_1_1_1_1_1_1_1_1_1_1_1_1_1_1_1_1_1_1_1_1_1_1" localSheetId="0">#REF!</definedName>
    <definedName name="Excel_BuiltIn_Print_Area_1_1_1_1_1_1_1_1_1_1_1_1_1_1_1_1_1_1_1_1_1_1_1_1_1_1_1">#REF!</definedName>
    <definedName name="Excel_BuiltIn_Print_Area_1_1_1_1_1_1_1_1_1_1_1_1_1_1_1_1_1_1_1_1_1_1_1_1_1_1_1_1" localSheetId="0">#REF!</definedName>
    <definedName name="Excel_BuiltIn_Print_Area_1_1_1_1_1_1_1_1_1_1_1_1_1_1_1_1_1_1_1_1_1_1_1_1_1_1_1_1">#REF!</definedName>
    <definedName name="Excel_BuiltIn_Print_Area_1_1_1_1_1_1_8" localSheetId="0">#REF!</definedName>
    <definedName name="Excel_BuiltIn_Print_Area_1_1_1_1_1_1_8">#REF!</definedName>
    <definedName name="Excel_BuiltIn_Print_Area_1_1_1_1_1_8" localSheetId="0">#REF!</definedName>
    <definedName name="Excel_BuiltIn_Print_Area_1_1_1_1_1_8">#REF!</definedName>
    <definedName name="Excel_BuiltIn_Print_Area_1_1_8" localSheetId="0">#REF!</definedName>
    <definedName name="Excel_BuiltIn_Print_Area_1_1_8">#REF!</definedName>
    <definedName name="Excel_BuiltIn_Print_Area_2" localSheetId="0">#REF!</definedName>
    <definedName name="Excel_BuiltIn_Print_Area_2">#REF!</definedName>
    <definedName name="Excel_BuiltIn_Print_Area_3" localSheetId="0">#REF!</definedName>
    <definedName name="Excel_BuiltIn_Print_Area_3">#REF!</definedName>
    <definedName name="Excel_BuiltIn_Print_Area_3_1" localSheetId="0">#REF!</definedName>
    <definedName name="Excel_BuiltIn_Print_Area_3_1">#REF!</definedName>
    <definedName name="Excel_BuiltIn_Print_Area_3_1_1" localSheetId="0">#REF!</definedName>
    <definedName name="Excel_BuiltIn_Print_Area_3_1_1">#REF!</definedName>
    <definedName name="Excel_BuiltIn_Print_Area_3_1_1_1" localSheetId="0">#REF!</definedName>
    <definedName name="Excel_BuiltIn_Print_Area_3_1_1_1">#REF!</definedName>
    <definedName name="Excel_BuiltIn_Print_Area_3_1_1_1_1" localSheetId="0">#REF!</definedName>
    <definedName name="Excel_BuiltIn_Print_Area_3_1_1_1_1">#REF!</definedName>
    <definedName name="Excel_BuiltIn_Print_Titles" localSheetId="0">#REF!</definedName>
    <definedName name="Excel_BuiltIn_Print_Titles">#REF!</definedName>
    <definedName name="Excel_BuiltIn_Print_Titles_1" localSheetId="0">#REF!,#REF!</definedName>
    <definedName name="Excel_BuiltIn_Print_Titles_1">#REF!,#REF!</definedName>
    <definedName name="Excel_BuiltIn_Print_Titles_1_1" localSheetId="0">#REF!,#REF!</definedName>
    <definedName name="Excel_BuiltIn_Print_Titles_1_1">#REF!,#REF!</definedName>
    <definedName name="Excel_BuiltIn_Print_Titles_1_1_1" localSheetId="0">#REF!,#REF!</definedName>
    <definedName name="Excel_BuiltIn_Print_Titles_1_1_1">#REF!,#REF!</definedName>
    <definedName name="Excel_BuiltIn_Print_Titles_1_1_1_1" localSheetId="0">#REF!,#REF!</definedName>
    <definedName name="Excel_BuiltIn_Print_Titles_1_1_1_1">#REF!,#REF!</definedName>
    <definedName name="Excel_BuiltIn_Print_Titles_1_1_1_1_1" localSheetId="0">#REF!,#REF!</definedName>
    <definedName name="Excel_BuiltIn_Print_Titles_1_1_1_1_1">#REF!,#REF!</definedName>
    <definedName name="Excel_BuiltIn_Print_Titles_1_1_1_1_1_1" localSheetId="0">#REF!,#REF!</definedName>
    <definedName name="Excel_BuiltIn_Print_Titles_1_1_1_1_1_1">#REF!,#REF!</definedName>
    <definedName name="Excel_BuiltIn_Print_Titles_1_1_1_1_1_1_1" localSheetId="0">#REF!,#REF!</definedName>
    <definedName name="Excel_BuiltIn_Print_Titles_1_1_1_1_1_1_1">#REF!,#REF!</definedName>
    <definedName name="Excel_BuiltIn_Print_Titles_1_1_1_1_1_1_1_1" localSheetId="0">#REF!,#REF!</definedName>
    <definedName name="Excel_BuiltIn_Print_Titles_1_1_1_1_1_1_1_1">#REF!,#REF!</definedName>
    <definedName name="Excel_BuiltIn_Print_Titles_1_1_1_1_1_1_1_1_1" localSheetId="0">#REF!,#REF!</definedName>
    <definedName name="Excel_BuiltIn_Print_Titles_1_1_1_1_1_1_1_1_1">#REF!,#REF!</definedName>
    <definedName name="Excel_BuiltIn_Print_Titles_1_1_1_1_1_1_1_1_1_1" localSheetId="0">#REF!,#REF!</definedName>
    <definedName name="Excel_BuiltIn_Print_Titles_1_1_1_1_1_1_1_1_1_1">#REF!,#REF!</definedName>
    <definedName name="Excel_BuiltIn_Print_Titles_1_1_1_1_1_1_1_1_1_1_1">'[5]CANT_ (2)'!$G$1:$Y$65438,'[5]CANT_ (2)'!$A$4:$FB$7</definedName>
    <definedName name="Excel_BuiltIn_Print_Titles_1_1_1_1_1_1_1_1_1_1_1_1" localSheetId="0">#REF!,#REF!</definedName>
    <definedName name="Excel_BuiltIn_Print_Titles_1_1_1_1_1_1_1_1_1_1_1_1">#REF!,#REF!</definedName>
    <definedName name="Excel_BuiltIn_Print_Titles_1_1_1_1_1_1_1_1_1_1_1_1_1" localSheetId="0">#REF!,#REF!</definedName>
    <definedName name="Excel_BuiltIn_Print_Titles_1_1_1_1_1_1_1_1_1_1_1_1_1">#REF!,#REF!</definedName>
    <definedName name="Excel_BuiltIn_Print_Titles_1_1_1_1_1_1_1_1_1_1_1_1_1_1" localSheetId="0">#REF!,#REF!</definedName>
    <definedName name="Excel_BuiltIn_Print_Titles_1_1_1_1_1_1_1_1_1_1_1_1_1_1">#REF!,#REF!</definedName>
    <definedName name="Excel_BuiltIn_Print_Titles_1_1_1_1_1_1_1_1_1_1_1_1_1_1_1" localSheetId="0">#REF!,#REF!</definedName>
    <definedName name="Excel_BuiltIn_Print_Titles_1_1_1_1_1_1_1_1_1_1_1_1_1_1_1">#REF!,#REF!</definedName>
    <definedName name="Excel_BuiltIn_Print_Titles_1_1_1_1_1_1_8" localSheetId="0">#REF!,#REF!</definedName>
    <definedName name="Excel_BuiltIn_Print_Titles_1_1_1_1_1_1_8">#REF!,#REF!</definedName>
    <definedName name="Excel_BuiltIn_Print_Titles_1_1_1_1_1_8" localSheetId="0">#REF!,#REF!</definedName>
    <definedName name="Excel_BuiltIn_Print_Titles_1_1_1_1_1_8">#REF!,#REF!</definedName>
    <definedName name="Excel_BuiltIn_Print_Titles_1_1_1_8" localSheetId="0">#REF!,#REF!</definedName>
    <definedName name="Excel_BuiltIn_Print_Titles_1_1_1_8">#REF!,#REF!</definedName>
    <definedName name="Excel_BuiltIn_Print_Titles_1_8" localSheetId="0">#REF!,#REF!</definedName>
    <definedName name="Excel_BuiltIn_Print_Titles_1_8">#REF!,#REF!</definedName>
    <definedName name="Excel_BuiltIn_Print_Titles_3">[7]C!$B$1:$B$65518,[7]C!$A$2:$IV$5</definedName>
    <definedName name="Excel_BuiltIn_Print_Titles_3_1">[7]C!$B$1:$B$65516,[7]C!$A$2:$IV$5</definedName>
    <definedName name="Excel_BuiltIn_Print_Titles_3_1_1">[8]C!$B$1:$F$65524,[8]C!$A$2:$IT$7</definedName>
    <definedName name="Excel_BuiltIn_Print_Titles_3_1_1_1">[8]C!$C$2:$C$65356,[8]C!$B$3:$IR$6</definedName>
    <definedName name="Excel_BuiltIn_Print_Titles_3_1_1_1_1">[8]C!$C$2:$C$65354,[8]C!$B$3:$IR$6</definedName>
    <definedName name="Exchange_rate" localSheetId="0">#REF!</definedName>
    <definedName name="Exchange_rate">#REF!</definedName>
    <definedName name="FEBRERODOSQUI" localSheetId="0">'ASISTENCIALES Proy 174'!$G$10:$AO$10</definedName>
    <definedName name="ff" localSheetId="0">#REF!</definedName>
    <definedName name="ff">#REF!</definedName>
    <definedName name="FFFF" localSheetId="0">#REF!</definedName>
    <definedName name="FFFF">#REF!</definedName>
    <definedName name="FORMA_DE_PAGO" localSheetId="0">[4]LISTAS!$B$44:$B$46</definedName>
    <definedName name="FORMA_DE_PAGO">[4]LISTAS!$B$44:$B$46</definedName>
    <definedName name="fsr" localSheetId="0">#REF!</definedName>
    <definedName name="fsr">#REF!</definedName>
    <definedName name="GGG" localSheetId="0" hidden="1">#REF!</definedName>
    <definedName name="GGG" hidden="1">#REF!</definedName>
    <definedName name="HI" localSheetId="0">#REF!</definedName>
    <definedName name="HI">#REF!</definedName>
    <definedName name="horasRecargos" localSheetId="0">#REF!</definedName>
    <definedName name="horasRecargos">#REF!</definedName>
    <definedName name="HorasyRecargosTurnos" localSheetId="0">#REF!</definedName>
    <definedName name="HorasyRecargosTurnos">#REF!</definedName>
    <definedName name="IDSNOVEDADES" localSheetId="0">#REF!</definedName>
    <definedName name="IDSNOVEDADES">#REF!</definedName>
    <definedName name="jio">[9]Personas!$B:$B</definedName>
    <definedName name="JUNIO1Q" localSheetId="0">'ASISTENCIALES Proy 174'!$G$10:$AI$10</definedName>
    <definedName name="JUNIO1Q">'[10]JUNIO 1-15'!$A$5:$AG$185</definedName>
    <definedName name="JUNIO1Q_4">'[11]JUNIO 1_15'!$A$5:$AG$185</definedName>
    <definedName name="JUNIO2Q" localSheetId="0">'ASISTENCIALES Proy 174'!$G$10:$AI$10</definedName>
    <definedName name="JUNIO2Q">#REF!</definedName>
    <definedName name="JUNIO2Q_4" localSheetId="0">#REF!</definedName>
    <definedName name="JUNIO2Q_4">#REF!</definedName>
    <definedName name="MARTA" localSheetId="0">#REF!</definedName>
    <definedName name="MARTA">#REF!</definedName>
    <definedName name="marzo" localSheetId="0">'ASISTENCIALES Proy 174'!$G$10:$AO$10</definedName>
    <definedName name="MAYO1Q" localSheetId="0">'ASISTENCIALES Proy 174'!$G$10:$AI$10</definedName>
    <definedName name="MAYO2Q" localSheetId="0">'ASISTENCIALES Proy 174'!$G$10:$AI$10</definedName>
    <definedName name="MES" localSheetId="0">[4]LISTAS!$A$3:$A$14</definedName>
    <definedName name="MES">[4]LISTAS!$A$3:$A$14</definedName>
    <definedName name="MILENA" localSheetId="0">'ASISTENCIALES Proy 174'!#REF!</definedName>
    <definedName name="MILENA_3" localSheetId="0">[5]NOMINA!#REF!</definedName>
    <definedName name="MILENA_3">[5]NOMINA!#REF!</definedName>
    <definedName name="MINIMO" localSheetId="0">'ASISTENCIALES Proy 174'!#REF!</definedName>
    <definedName name="MINIMO">#REF!</definedName>
    <definedName name="MINIMO_3" localSheetId="0">[5]NOMINA!#REF!</definedName>
    <definedName name="MINIMO_3">[5]NOMINA!#REF!</definedName>
    <definedName name="MINIMO_4" localSheetId="0">#REF!</definedName>
    <definedName name="MINIMO_4">#REF!</definedName>
    <definedName name="MM" localSheetId="0">#REF!</definedName>
    <definedName name="MM">#REF!</definedName>
    <definedName name="N.ESTUDIO" localSheetId="0">[12]Hoja2!$D$1:$D$7</definedName>
    <definedName name="N.ESTUDIO">[12]Hoja2!$D$1:$D$7</definedName>
    <definedName name="NOMINA">[13]NOMINA!$B$6:$AR$112</definedName>
    <definedName name="ÑÑÑÑÑÑÑÑÑÑ" localSheetId="0">#REF!</definedName>
    <definedName name="ÑÑÑÑÑÑÑÑÑÑ">#REF!</definedName>
    <definedName name="OPCION" localSheetId="0">[4]LISTAS!$C$3:$C$4</definedName>
    <definedName name="OPCION">[4]LISTAS!$C$3:$C$4</definedName>
    <definedName name="PRIMA" localSheetId="0">#REF!</definedName>
    <definedName name="PRIMA">#REF!</definedName>
    <definedName name="Print_Area" localSheetId="0">'ASISTENCIALES Proy 174'!$G$1:$AO$83</definedName>
    <definedName name="Print_Titles" localSheetId="0">'ASISTENCIALES Proy 174'!$G:$Q</definedName>
    <definedName name="PROSPERAR" localSheetId="0">'ASISTENCIALES Proy 174'!$G$10:$AO$10</definedName>
    <definedName name="PROSPERAR2" localSheetId="0">'ASISTENCIALES Proy 174'!$G$10:$AO$10</definedName>
    <definedName name="PROSPERAR3" localSheetId="0">'ASISTENCIALES Proy 174'!$G$10:$AO$10</definedName>
    <definedName name="qwe" localSheetId="0">'ASISTENCIALES Proy 174'!$G:$S,'ASISTENCIALES Proy 174'!$1:$10</definedName>
    <definedName name="qwr">[14]Personas!$B$1:$B$65536</definedName>
    <definedName name="referencia">[15]RefTurnos!$B:$B</definedName>
    <definedName name="RGAFP" localSheetId="0">#REF!</definedName>
    <definedName name="RGAFP">#REF!</definedName>
    <definedName name="RGALTORIESGO" localSheetId="0">#REF!</definedName>
    <definedName name="RGALTORIESGO">#REF!</definedName>
    <definedName name="RGARP" localSheetId="0">#REF!</definedName>
    <definedName name="RGARP">#REF!</definedName>
    <definedName name="RGCCF">[16]DatosPruebaEmp!$J$3:$J$46</definedName>
    <definedName name="RGCENTRABAJO">[16]DatosPruebaEmp!$B$3:$B$6</definedName>
    <definedName name="RGCLASERIESGO">[16]DatosPruebaEmp!$L$3</definedName>
    <definedName name="RGDIVIDEPTO">[16]DatosPruebaEmp!$AD$3:$AD$35</definedName>
    <definedName name="RGEPS" localSheetId="0">#REF!</definedName>
    <definedName name="RGEPS">#REF!</definedName>
    <definedName name="RGGRUPOPOB" localSheetId="0">#REF!</definedName>
    <definedName name="RGGRUPOPOB">#REF!</definedName>
    <definedName name="RGINDALTORIESGO">[16]DatosPruebaEmp!$H$3:$H$7</definedName>
    <definedName name="RGNOVEDADSLN">[16]DatosPruebaEmp!$W$3:$W$5</definedName>
    <definedName name="RGNOVEDADVAC">[16]DatosPruebaEmp!$BN$3:$BN$5</definedName>
    <definedName name="RGSINO" localSheetId="0">#REF!</definedName>
    <definedName name="RGSINO">#REF!</definedName>
    <definedName name="RGSINOVACIO" localSheetId="0">#REF!</definedName>
    <definedName name="RGSINOVACIO">#REF!</definedName>
    <definedName name="RGSUBTIPOSCOT" localSheetId="0">#REF!</definedName>
    <definedName name="RGSUBTIPOSCOT">#REF!</definedName>
    <definedName name="RGSUCURSALES" localSheetId="0">#REF!</definedName>
    <definedName name="RGSUCURSALES">#REF!</definedName>
    <definedName name="RGTARIFAARL" localSheetId="0">#REF!</definedName>
    <definedName name="RGTARIFAARL">#REF!</definedName>
    <definedName name="RGTARIFASCCF" localSheetId="0">#REF!</definedName>
    <definedName name="RGTARIFASCCF">#REF!</definedName>
    <definedName name="RGTIPOCORRECCIONES">[16]DatosPruebaEmp!$V$3:$V$5</definedName>
    <definedName name="RGTIPOINGLIQ">[16]DatosPruebaEmp!$BL$3:$BL$6</definedName>
    <definedName name="RGTIPORETLIQ">[16]DatosPruebaEmp!$BM$3:$BM$7</definedName>
    <definedName name="RGTIPOSCOT" localSheetId="0">#REF!</definedName>
    <definedName name="RGTIPOSCOT">#REF!</definedName>
    <definedName name="RGTIPOSDOCS" localSheetId="0">[17]DatosPruebaEmp!$S$3:$S$10</definedName>
    <definedName name="RGTIPOSDOCS">[17]DatosPruebaEmp!$S$3:$S$10</definedName>
    <definedName name="RRR" localSheetId="0">#REF!</definedName>
    <definedName name="RRR">#REF!</definedName>
    <definedName name="sadgfafg" localSheetId="0">'ASISTENCIALES Proy 174'!$G:$Q</definedName>
    <definedName name="SEGQABRI" localSheetId="0">#REF!</definedName>
    <definedName name="SEGQABRI">#REF!</definedName>
    <definedName name="SEGQABRI_4" localSheetId="0">#REF!</definedName>
    <definedName name="SEGQABRI_4">#REF!</definedName>
    <definedName name="sfdg" localSheetId="0">#REF!,#REF!</definedName>
    <definedName name="sfdg">#REF!,#REF!</definedName>
    <definedName name="SFKJASDFKL">'[18]JUNIO 1-15'!$A$5:$AG$185</definedName>
    <definedName name="sfsg" localSheetId="0">#REF!</definedName>
    <definedName name="sfsg">#REF!</definedName>
    <definedName name="Sinnombre" localSheetId="0">#REF!</definedName>
    <definedName name="Sinnombre">#REF!</definedName>
    <definedName name="Sinnombre___0" localSheetId="0">#REF!</definedName>
    <definedName name="Sinnombre___0">#REF!</definedName>
    <definedName name="Sinnombre___0___0" localSheetId="0">#REF!</definedName>
    <definedName name="Sinnombre___0___0">#REF!</definedName>
    <definedName name="Sinnombre___0___0___0" localSheetId="0">#REF!</definedName>
    <definedName name="Sinnombre___0___0___0">#REF!</definedName>
    <definedName name="Sinnombre___0___0___0___0" localSheetId="0">#REF!</definedName>
    <definedName name="Sinnombre___0___0___0___0">#REF!</definedName>
    <definedName name="SOCHA" localSheetId="0">#REF!</definedName>
    <definedName name="SOCHA">#REF!</definedName>
    <definedName name="SSSS" localSheetId="0">#REF!</definedName>
    <definedName name="SSSS">#REF!</definedName>
    <definedName name="SUC_21" localSheetId="0">#REF!</definedName>
    <definedName name="SUC_21">#REF!</definedName>
    <definedName name="SUC_BOGOTA" localSheetId="0">#REF!</definedName>
    <definedName name="SUC_BOGOTA">#REF!</definedName>
    <definedName name="SUC_BOYACA" localSheetId="0">#REF!</definedName>
    <definedName name="SUC_BOYACA">#REF!</definedName>
    <definedName name="SUC_BOYACA_SOP" localSheetId="0">#REF!</definedName>
    <definedName name="SUC_BOYACA_SOP">#REF!</definedName>
    <definedName name="SUC_CESAR" localSheetId="0">#REF!</definedName>
    <definedName name="SUC_CESAR">#REF!</definedName>
    <definedName name="SUC_COLSUBSIDO" localSheetId="0">#REF!</definedName>
    <definedName name="SUC_COLSUBSIDO">#REF!</definedName>
    <definedName name="SUC_COMFABOY" localSheetId="0">#REF!</definedName>
    <definedName name="SUC_COMFABOY">#REF!</definedName>
    <definedName name="SUC_HRM_SANTANDER" localSheetId="0">#REF!</definedName>
    <definedName name="SUC_HRM_SANTANDER">#REF!</definedName>
    <definedName name="SUC_HSRT" localSheetId="0">#REF!</definedName>
    <definedName name="SUC_HSRT">#REF!</definedName>
    <definedName name="SUC_LABNOM11" localSheetId="0">#REF!</definedName>
    <definedName name="SUC_LABNOM11">#REF!</definedName>
    <definedName name="SUC_LABORAMOS_01" localSheetId="0">#REF!</definedName>
    <definedName name="SUC_LABORAMOS_01">#REF!</definedName>
    <definedName name="SUC_LABORAMOS_012_" localSheetId="0">#REF!</definedName>
    <definedName name="SUC_LABORAMOS_012_">#REF!</definedName>
    <definedName name="SUC_LABORAMOS_02" localSheetId="0">#REF!</definedName>
    <definedName name="SUC_LABORAMOS_02">#REF!</definedName>
    <definedName name="SUC_LABORAMOS_03" localSheetId="0">#REF!</definedName>
    <definedName name="SUC_LABORAMOS_03">#REF!</definedName>
    <definedName name="SUC_LABORAMOS_04" localSheetId="0">#REF!</definedName>
    <definedName name="SUC_LABORAMOS_04">#REF!</definedName>
    <definedName name="SUC_LABORAMOS_05" localSheetId="0">#REF!</definedName>
    <definedName name="SUC_LABORAMOS_05">#REF!</definedName>
    <definedName name="SUC_LABORAMOS_06" localSheetId="0">#REF!</definedName>
    <definedName name="SUC_LABORAMOS_06">#REF!</definedName>
    <definedName name="SUC_LABORAMOS_08" localSheetId="0">#REF!</definedName>
    <definedName name="SUC_LABORAMOS_08">#REF!</definedName>
    <definedName name="SUC_LABORAMOS_09" localSheetId="0">#REF!</definedName>
    <definedName name="SUC_LABORAMOS_09">#REF!</definedName>
    <definedName name="SUC_LABORAMOS_11" localSheetId="0">#REF!</definedName>
    <definedName name="SUC_LABORAMOS_11">#REF!</definedName>
    <definedName name="SUC_LABORAMOS_13" localSheetId="0">#REF!</definedName>
    <definedName name="SUC_LABORAMOS_13">#REF!</definedName>
    <definedName name="SUC_LABORAMOS_14" localSheetId="0">#REF!</definedName>
    <definedName name="SUC_LABORAMOS_14">#REF!</definedName>
    <definedName name="SUC_LABORAMOS_16" localSheetId="0">#REF!</definedName>
    <definedName name="SUC_LABORAMOS_16">#REF!</definedName>
    <definedName name="SUC_LABORAMOS_17" localSheetId="0">#REF!</definedName>
    <definedName name="SUC_LABORAMOS_17">#REF!</definedName>
    <definedName name="SUC_LABORAMOS_18" localSheetId="0">#REF!</definedName>
    <definedName name="SUC_LABORAMOS_18">#REF!</definedName>
    <definedName name="SUC_LABORAMOS_19" localSheetId="0">#REF!</definedName>
    <definedName name="SUC_LABORAMOS_19">#REF!</definedName>
    <definedName name="SUC_LABORAMOS_20" localSheetId="0">#REF!</definedName>
    <definedName name="SUC_LABORAMOS_20">#REF!</definedName>
    <definedName name="SUC_LABORAMOS_CASANARE" localSheetId="0">#REF!</definedName>
    <definedName name="SUC_LABORAMOS_CASANARE">#REF!</definedName>
    <definedName name="SUC_LABORAMOS_COLSUBSIDIO" localSheetId="0">#REF!</definedName>
    <definedName name="SUC_LABORAMOS_COLSUBSIDIO">#REF!</definedName>
    <definedName name="SUC_LABORAMOS_COMFACESAR" localSheetId="0">#REF!</definedName>
    <definedName name="SUC_LABORAMOS_COMFACESAR">#REF!</definedName>
    <definedName name="SUC_LABORAMOS_LTDA_05" localSheetId="0">#REF!</definedName>
    <definedName name="SUC_LABORAMOS_LTDA_05">#REF!</definedName>
    <definedName name="SUC_LABORAMOS_RISARALDA" localSheetId="0">#REF!</definedName>
    <definedName name="SUC_LABORAMOS_RISARALDA">#REF!</definedName>
    <definedName name="SUC_LABORAMOS_S.A.S" localSheetId="0">#REF!</definedName>
    <definedName name="SUC_LABORAMOS_S.A.S">#REF!</definedName>
    <definedName name="SUC_LABORAMOS_S.A.S._HSRT" localSheetId="0">#REF!</definedName>
    <definedName name="SUC_LABORAMOS_S.A.S._HSRT">#REF!</definedName>
    <definedName name="SUC_LABORAMOS_SANTANDER" localSheetId="0">#REF!</definedName>
    <definedName name="SUC_LABORAMOS_SANTANDER">#REF!</definedName>
    <definedName name="SUC_LABORAMOS_SAS__05" localSheetId="0">#REF!</definedName>
    <definedName name="SUC_LABORAMOS_SAS__05">#REF!</definedName>
    <definedName name="SUC_LABORAMOS15" localSheetId="0">#REF!</definedName>
    <definedName name="SUC_LABORAMOS15">#REF!</definedName>
    <definedName name="SUC_META" localSheetId="0">#REF!</definedName>
    <definedName name="SUC_META">#REF!</definedName>
    <definedName name="SUC_NARINO" localSheetId="0">#REF!</definedName>
    <definedName name="SUC_NARINO">#REF!</definedName>
    <definedName name="SUC_OFICINA_SOPO_2014" localSheetId="0">#REF!</definedName>
    <definedName name="SUC_OFICINA_SOPO_2014">#REF!</definedName>
    <definedName name="SUC_SANTANDER" localSheetId="0">#REF!</definedName>
    <definedName name="SUC_SANTANDER">#REF!</definedName>
    <definedName name="SUC_SUCURSAL_01" localSheetId="0">#REF!</definedName>
    <definedName name="SUC_SUCURSAL_01">#REF!</definedName>
    <definedName name="SUC_SUCURSAL_03" localSheetId="0">#REF!</definedName>
    <definedName name="SUC_SUCURSAL_03">#REF!</definedName>
    <definedName name="SUC_SUCURSAL_04" localSheetId="0">#REF!</definedName>
    <definedName name="SUC_SUCURSAL_04">#REF!</definedName>
    <definedName name="SUC_SUCURSAL_05" localSheetId="0">#REF!</definedName>
    <definedName name="SUC_SUCURSAL_05">#REF!</definedName>
    <definedName name="SUC_SUCURSAL_06" localSheetId="0">#REF!</definedName>
    <definedName name="SUC_SUCURSAL_06">#REF!</definedName>
    <definedName name="SUC_SUCURSAL_1" localSheetId="0">#REF!</definedName>
    <definedName name="SUC_SUCURSAL_1">#REF!</definedName>
    <definedName name="SUC_SUCURSAL_LABORAM" localSheetId="0">#REF!</definedName>
    <definedName name="SUC_SUCURSAL_LABORAM">#REF!</definedName>
    <definedName name="SUC_TUNJA" localSheetId="0">#REF!</definedName>
    <definedName name="SUC_TUNJA">#REF!</definedName>
    <definedName name="TH" localSheetId="0">#REF!</definedName>
    <definedName name="TH">#REF!</definedName>
    <definedName name="TIPO_DOC" localSheetId="0">[4]LISTAS!$A$21:$A$27</definedName>
    <definedName name="TIPO_DOC">[4]LISTAS!$A$21:$A$27</definedName>
    <definedName name="Tipos_de_cotizantes" localSheetId="0">[4]LISTAS!$G$3:$G$5</definedName>
    <definedName name="Tipos_de_cotizantes">[4]LISTAS!$G$3:$G$5</definedName>
    <definedName name="_xlnm.Print_Titles" localSheetId="0">'ASISTENCIALES Proy 174'!$G:$Q</definedName>
    <definedName name="TitulosColumnas" localSheetId="0">#REF!</definedName>
    <definedName name="TitulosColumnas">#REF!</definedName>
    <definedName name="TitulosColumnasNovedades" localSheetId="0">#REF!</definedName>
    <definedName name="TitulosColumnasNovedades">#REF!</definedName>
    <definedName name="UNO">[19]NOMINA!$A$5:$Y$191</definedName>
    <definedName name="UNO_4">[20]NOMINA!$A$5:$Y$191</definedName>
    <definedName name="vcsdgdfh" localSheetId="0">#REF!</definedName>
    <definedName name="vcsdgdfh">#REF!</definedName>
    <definedName name="we" localSheetId="0">'ASISTENCIALES Proy 174'!$G:$Q</definedName>
    <definedName name="x" localSheetId="0">#REF!</definedName>
    <definedName name="x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O80" i="1" l="1"/>
  <c r="K88" i="1"/>
  <c r="I85" i="1"/>
  <c r="AL76" i="1"/>
  <c r="AJ76" i="1"/>
  <c r="R76" i="1"/>
  <c r="D76" i="1"/>
  <c r="E76" i="1" s="1"/>
  <c r="I76" i="1" s="1"/>
  <c r="AL75" i="1"/>
  <c r="AJ75" i="1"/>
  <c r="R75" i="1"/>
  <c r="D75" i="1"/>
  <c r="E75" i="1" s="1"/>
  <c r="I75" i="1" s="1"/>
  <c r="AL74" i="1"/>
  <c r="AJ74" i="1"/>
  <c r="R74" i="1"/>
  <c r="D74" i="1"/>
  <c r="E74" i="1" s="1"/>
  <c r="I74" i="1" s="1"/>
  <c r="AL73" i="1"/>
  <c r="AJ73" i="1"/>
  <c r="R73" i="1"/>
  <c r="D73" i="1"/>
  <c r="E73" i="1" s="1"/>
  <c r="I73" i="1" s="1"/>
  <c r="AL72" i="1"/>
  <c r="AJ72" i="1"/>
  <c r="R72" i="1"/>
  <c r="D72" i="1"/>
  <c r="E72" i="1" s="1"/>
  <c r="I72" i="1" s="1"/>
  <c r="AL71" i="1"/>
  <c r="AJ71" i="1"/>
  <c r="R71" i="1"/>
  <c r="D71" i="1"/>
  <c r="E71" i="1" s="1"/>
  <c r="I71" i="1" s="1"/>
  <c r="K71" i="1" s="1"/>
  <c r="AL70" i="1"/>
  <c r="AJ70" i="1"/>
  <c r="R70" i="1"/>
  <c r="D70" i="1"/>
  <c r="E70" i="1" s="1"/>
  <c r="I70" i="1" s="1"/>
  <c r="AL69" i="1"/>
  <c r="AJ69" i="1"/>
  <c r="R69" i="1"/>
  <c r="D69" i="1"/>
  <c r="E69" i="1" s="1"/>
  <c r="I69" i="1" s="1"/>
  <c r="AL68" i="1"/>
  <c r="AJ68" i="1"/>
  <c r="R68" i="1"/>
  <c r="D68" i="1"/>
  <c r="E68" i="1" s="1"/>
  <c r="I68" i="1" s="1"/>
  <c r="AL67" i="1"/>
  <c r="AJ67" i="1"/>
  <c r="R67" i="1"/>
  <c r="D67" i="1"/>
  <c r="E67" i="1" s="1"/>
  <c r="I67" i="1" s="1"/>
  <c r="AL66" i="1"/>
  <c r="AJ66" i="1"/>
  <c r="R66" i="1"/>
  <c r="D66" i="1"/>
  <c r="E66" i="1" s="1"/>
  <c r="I66" i="1" s="1"/>
  <c r="K66" i="1" s="1"/>
  <c r="AL65" i="1"/>
  <c r="AJ65" i="1"/>
  <c r="R65" i="1"/>
  <c r="D65" i="1"/>
  <c r="E65" i="1" s="1"/>
  <c r="I65" i="1" s="1"/>
  <c r="AL64" i="1"/>
  <c r="AJ64" i="1"/>
  <c r="R64" i="1"/>
  <c r="C64" i="1"/>
  <c r="D64" i="1" s="1"/>
  <c r="E64" i="1" s="1"/>
  <c r="I64" i="1" s="1"/>
  <c r="AL63" i="1"/>
  <c r="AJ63" i="1"/>
  <c r="R63" i="1"/>
  <c r="C63" i="1"/>
  <c r="D63" i="1" s="1"/>
  <c r="E63" i="1" s="1"/>
  <c r="I63" i="1" s="1"/>
  <c r="AL62" i="1"/>
  <c r="AJ62" i="1"/>
  <c r="R62" i="1"/>
  <c r="C62" i="1"/>
  <c r="D62" i="1" s="1"/>
  <c r="E62" i="1" s="1"/>
  <c r="I62" i="1" s="1"/>
  <c r="AL61" i="1"/>
  <c r="AJ61" i="1"/>
  <c r="R61" i="1"/>
  <c r="C61" i="1"/>
  <c r="D61" i="1" s="1"/>
  <c r="E61" i="1" s="1"/>
  <c r="I61" i="1" s="1"/>
  <c r="AL60" i="1"/>
  <c r="AJ60" i="1"/>
  <c r="R60" i="1"/>
  <c r="D60" i="1"/>
  <c r="E60" i="1" s="1"/>
  <c r="I60" i="1" s="1"/>
  <c r="AL59" i="1"/>
  <c r="AJ59" i="1"/>
  <c r="R59" i="1"/>
  <c r="C59" i="1"/>
  <c r="D59" i="1" s="1"/>
  <c r="E59" i="1" s="1"/>
  <c r="I59" i="1" s="1"/>
  <c r="AL58" i="1"/>
  <c r="AJ58" i="1"/>
  <c r="R58" i="1"/>
  <c r="C58" i="1"/>
  <c r="D58" i="1" s="1"/>
  <c r="E58" i="1" s="1"/>
  <c r="I58" i="1" s="1"/>
  <c r="AL57" i="1"/>
  <c r="AJ57" i="1"/>
  <c r="R57" i="1"/>
  <c r="C57" i="1"/>
  <c r="D57" i="1" s="1"/>
  <c r="E57" i="1" s="1"/>
  <c r="I57" i="1" s="1"/>
  <c r="AL56" i="1"/>
  <c r="AJ56" i="1"/>
  <c r="R56" i="1"/>
  <c r="C56" i="1"/>
  <c r="D56" i="1" s="1"/>
  <c r="E56" i="1" s="1"/>
  <c r="I56" i="1" s="1"/>
  <c r="AL55" i="1"/>
  <c r="AJ55" i="1"/>
  <c r="R55" i="1"/>
  <c r="K55" i="1"/>
  <c r="C55" i="1"/>
  <c r="D55" i="1" s="1"/>
  <c r="AL54" i="1"/>
  <c r="AJ54" i="1"/>
  <c r="R54" i="1"/>
  <c r="D54" i="1"/>
  <c r="E54" i="1" s="1"/>
  <c r="I54" i="1" s="1"/>
  <c r="AL53" i="1"/>
  <c r="AJ53" i="1"/>
  <c r="R53" i="1"/>
  <c r="D53" i="1"/>
  <c r="E53" i="1" s="1"/>
  <c r="I53" i="1" s="1"/>
  <c r="AL52" i="1"/>
  <c r="AJ52" i="1"/>
  <c r="R52" i="1"/>
  <c r="D52" i="1"/>
  <c r="E52" i="1" s="1"/>
  <c r="I52" i="1" s="1"/>
  <c r="K52" i="1" s="1"/>
  <c r="AL51" i="1"/>
  <c r="AJ51" i="1"/>
  <c r="R51" i="1"/>
  <c r="K51" i="1"/>
  <c r="C51" i="1"/>
  <c r="D51" i="1" s="1"/>
  <c r="AL50" i="1"/>
  <c r="AJ50" i="1"/>
  <c r="R50" i="1"/>
  <c r="D50" i="1"/>
  <c r="E50" i="1" s="1"/>
  <c r="I50" i="1" s="1"/>
  <c r="AL49" i="1"/>
  <c r="AJ49" i="1"/>
  <c r="R49" i="1"/>
  <c r="D49" i="1"/>
  <c r="E49" i="1" s="1"/>
  <c r="I49" i="1" s="1"/>
  <c r="AL48" i="1"/>
  <c r="AJ48" i="1"/>
  <c r="R48" i="1"/>
  <c r="D48" i="1"/>
  <c r="E48" i="1" s="1"/>
  <c r="I48" i="1" s="1"/>
  <c r="K48" i="1" s="1"/>
  <c r="AL47" i="1"/>
  <c r="AJ47" i="1"/>
  <c r="R47" i="1"/>
  <c r="D47" i="1"/>
  <c r="E47" i="1" s="1"/>
  <c r="I47" i="1" s="1"/>
  <c r="AL46" i="1"/>
  <c r="AJ46" i="1"/>
  <c r="R46" i="1"/>
  <c r="B46" i="1"/>
  <c r="D46" i="1" s="1"/>
  <c r="E46" i="1" s="1"/>
  <c r="I46" i="1" s="1"/>
  <c r="AL45" i="1"/>
  <c r="AJ45" i="1"/>
  <c r="R45" i="1"/>
  <c r="D45" i="1"/>
  <c r="E45" i="1" s="1"/>
  <c r="I45" i="1" s="1"/>
  <c r="K45" i="1" s="1"/>
  <c r="AL44" i="1"/>
  <c r="AJ44" i="1"/>
  <c r="R44" i="1"/>
  <c r="D44" i="1"/>
  <c r="E44" i="1" s="1"/>
  <c r="I44" i="1" s="1"/>
  <c r="K44" i="1" s="1"/>
  <c r="AL43" i="1"/>
  <c r="AJ43" i="1"/>
  <c r="R43" i="1"/>
  <c r="D43" i="1"/>
  <c r="E43" i="1" s="1"/>
  <c r="I43" i="1" s="1"/>
  <c r="K43" i="1" s="1"/>
  <c r="AL42" i="1"/>
  <c r="AJ42" i="1"/>
  <c r="R42" i="1"/>
  <c r="D42" i="1"/>
  <c r="E42" i="1" s="1"/>
  <c r="I42" i="1" s="1"/>
  <c r="K42" i="1" s="1"/>
  <c r="AL41" i="1"/>
  <c r="AJ41" i="1"/>
  <c r="R41" i="1"/>
  <c r="D41" i="1"/>
  <c r="E41" i="1" s="1"/>
  <c r="I41" i="1" s="1"/>
  <c r="AL40" i="1"/>
  <c r="AJ40" i="1"/>
  <c r="R40" i="1"/>
  <c r="E40" i="1"/>
  <c r="C40" i="1" s="1"/>
  <c r="D40" i="1" s="1"/>
  <c r="AL39" i="1"/>
  <c r="AJ39" i="1"/>
  <c r="R39" i="1"/>
  <c r="E39" i="1"/>
  <c r="AL38" i="1"/>
  <c r="AJ38" i="1"/>
  <c r="R38" i="1"/>
  <c r="I38" i="1"/>
  <c r="K38" i="1" s="1"/>
  <c r="B38" i="1"/>
  <c r="C38" i="1" s="1"/>
  <c r="D38" i="1" s="1"/>
  <c r="AL37" i="1"/>
  <c r="AJ37" i="1"/>
  <c r="R37" i="1"/>
  <c r="D37" i="1"/>
  <c r="E37" i="1" s="1"/>
  <c r="I37" i="1" s="1"/>
  <c r="K37" i="1" s="1"/>
  <c r="AL36" i="1"/>
  <c r="R36" i="1"/>
  <c r="G36" i="1"/>
  <c r="D36" i="1"/>
  <c r="E36" i="1" s="1"/>
  <c r="I36" i="1" s="1"/>
  <c r="AL35" i="1"/>
  <c r="AJ35" i="1"/>
  <c r="R35" i="1"/>
  <c r="D35" i="1"/>
  <c r="E35" i="1" s="1"/>
  <c r="I35" i="1" s="1"/>
  <c r="AL34" i="1"/>
  <c r="AJ34" i="1"/>
  <c r="R34" i="1"/>
  <c r="D34" i="1"/>
  <c r="E34" i="1" s="1"/>
  <c r="I34" i="1" s="1"/>
  <c r="AL33" i="1"/>
  <c r="AJ33" i="1"/>
  <c r="R33" i="1"/>
  <c r="B33" i="1"/>
  <c r="AL32" i="1"/>
  <c r="AJ32" i="1"/>
  <c r="R32" i="1"/>
  <c r="D32" i="1"/>
  <c r="E32" i="1" s="1"/>
  <c r="I32" i="1" s="1"/>
  <c r="AL31" i="1"/>
  <c r="AJ31" i="1"/>
  <c r="R31" i="1"/>
  <c r="I31" i="1"/>
  <c r="K31" i="1" s="1"/>
  <c r="B31" i="1"/>
  <c r="C31" i="1" s="1"/>
  <c r="AL30" i="1"/>
  <c r="AJ30" i="1"/>
  <c r="R30" i="1"/>
  <c r="I30" i="1"/>
  <c r="C30" i="1"/>
  <c r="D30" i="1" s="1"/>
  <c r="AL29" i="1"/>
  <c r="AJ29" i="1"/>
  <c r="R29" i="1"/>
  <c r="I29" i="1"/>
  <c r="K29" i="1" s="1"/>
  <c r="D29" i="1"/>
  <c r="AL28" i="1"/>
  <c r="AJ28" i="1"/>
  <c r="R28" i="1"/>
  <c r="B28" i="1"/>
  <c r="AL27" i="1"/>
  <c r="AJ27" i="1"/>
  <c r="R27" i="1"/>
  <c r="I27" i="1"/>
  <c r="K27" i="1" s="1"/>
  <c r="B27" i="1"/>
  <c r="AL26" i="1"/>
  <c r="AJ26" i="1"/>
  <c r="R26" i="1"/>
  <c r="I26" i="1"/>
  <c r="B26" i="1"/>
  <c r="AL25" i="1"/>
  <c r="AJ25" i="1"/>
  <c r="R25" i="1"/>
  <c r="I25" i="1"/>
  <c r="K25" i="1" s="1"/>
  <c r="B25" i="1"/>
  <c r="AL24" i="1"/>
  <c r="AJ24" i="1"/>
  <c r="R24" i="1"/>
  <c r="I24" i="1"/>
  <c r="K24" i="1" s="1"/>
  <c r="B24" i="1"/>
  <c r="C24" i="1" s="1"/>
  <c r="AL23" i="1"/>
  <c r="AJ23" i="1"/>
  <c r="R23" i="1"/>
  <c r="I23" i="1"/>
  <c r="C23" i="1"/>
  <c r="D23" i="1" s="1"/>
  <c r="AL22" i="1"/>
  <c r="AJ22" i="1"/>
  <c r="R22" i="1"/>
  <c r="B22" i="1"/>
  <c r="AL21" i="1"/>
  <c r="AJ21" i="1"/>
  <c r="R21" i="1"/>
  <c r="I21" i="1"/>
  <c r="B21" i="1"/>
  <c r="AL20" i="1"/>
  <c r="AJ20" i="1"/>
  <c r="R20" i="1"/>
  <c r="I20" i="1"/>
  <c r="B20" i="1"/>
  <c r="C20" i="1" s="1"/>
  <c r="D20" i="1" s="1"/>
  <c r="AL19" i="1"/>
  <c r="AJ19" i="1"/>
  <c r="R19" i="1"/>
  <c r="K19" i="1"/>
  <c r="C19" i="1"/>
  <c r="D19" i="1" s="1"/>
  <c r="AL18" i="1"/>
  <c r="AJ18" i="1"/>
  <c r="R18" i="1"/>
  <c r="D18" i="1"/>
  <c r="E18" i="1" s="1"/>
  <c r="I18" i="1" s="1"/>
  <c r="AL17" i="1"/>
  <c r="AJ17" i="1"/>
  <c r="R17" i="1"/>
  <c r="D17" i="1"/>
  <c r="E17" i="1" s="1"/>
  <c r="I17" i="1" s="1"/>
  <c r="K17" i="1" s="1"/>
  <c r="AL16" i="1"/>
  <c r="AJ16" i="1"/>
  <c r="R16" i="1"/>
  <c r="I16" i="1"/>
  <c r="C16" i="1"/>
  <c r="D16" i="1" s="1"/>
  <c r="AL15" i="1"/>
  <c r="AJ15" i="1"/>
  <c r="R15" i="1"/>
  <c r="I15" i="1"/>
  <c r="K15" i="1" s="1"/>
  <c r="AL14" i="1"/>
  <c r="AJ14" i="1"/>
  <c r="R14" i="1"/>
  <c r="I14" i="1"/>
  <c r="K14" i="1" s="1"/>
  <c r="C14" i="1"/>
  <c r="D14" i="1" s="1"/>
  <c r="AL13" i="1"/>
  <c r="AJ13" i="1"/>
  <c r="R13" i="1"/>
  <c r="I13" i="1"/>
  <c r="K13" i="1" s="1"/>
  <c r="C13" i="1"/>
  <c r="D13" i="1" s="1"/>
  <c r="AL12" i="1"/>
  <c r="AJ12" i="1"/>
  <c r="R12" i="1"/>
  <c r="I12" i="1"/>
  <c r="K12" i="1" s="1"/>
  <c r="C12" i="1"/>
  <c r="D12" i="1" s="1"/>
  <c r="AL11" i="1"/>
  <c r="AJ11" i="1"/>
  <c r="R11" i="1"/>
  <c r="I11" i="1"/>
  <c r="K11" i="1" s="1"/>
  <c r="C11" i="1"/>
  <c r="D11" i="1" s="1"/>
  <c r="D3" i="1"/>
  <c r="E3" i="1" s="1"/>
  <c r="D2" i="1"/>
  <c r="E2" i="1" s="1"/>
  <c r="AE16" i="1" l="1"/>
  <c r="AE18" i="1"/>
  <c r="K18" i="1"/>
  <c r="C25" i="1"/>
  <c r="D25" i="1" s="1"/>
  <c r="C26" i="1"/>
  <c r="D26" i="1"/>
  <c r="AE26" i="1"/>
  <c r="C27" i="1"/>
  <c r="D27" i="1" s="1"/>
  <c r="D28" i="1"/>
  <c r="E28" i="1" s="1"/>
  <c r="I28" i="1" s="1"/>
  <c r="K28" i="1" s="1"/>
  <c r="D33" i="1"/>
  <c r="E33" i="1" s="1"/>
  <c r="I33" i="1" s="1"/>
  <c r="K33" i="1" s="1"/>
  <c r="C39" i="1"/>
  <c r="D39" i="1" s="1"/>
  <c r="I39" i="1"/>
  <c r="AE39" i="1" s="1"/>
  <c r="AE64" i="1"/>
  <c r="AE61" i="1"/>
  <c r="AE55" i="1"/>
  <c r="L51" i="1"/>
  <c r="O51" i="1" s="1"/>
  <c r="L71" i="1"/>
  <c r="AE62" i="1"/>
  <c r="L19" i="1"/>
  <c r="O19" i="1" s="1"/>
  <c r="AE48" i="1"/>
  <c r="AE38" i="1"/>
  <c r="L29" i="1"/>
  <c r="O29" i="1" s="1"/>
  <c r="L54" i="1"/>
  <c r="L50" i="1"/>
  <c r="L49" i="1"/>
  <c r="L30" i="1"/>
  <c r="AE29" i="1"/>
  <c r="L14" i="1"/>
  <c r="O14" i="1" s="1"/>
  <c r="L55" i="1"/>
  <c r="O55" i="1" s="1"/>
  <c r="AE51" i="1"/>
  <c r="AE12" i="1"/>
  <c r="L18" i="1"/>
  <c r="O18" i="1" s="1"/>
  <c r="AE32" i="1"/>
  <c r="L32" i="1"/>
  <c r="K32" i="1"/>
  <c r="O32" i="1" s="1"/>
  <c r="L42" i="1"/>
  <c r="O42" i="1" s="1"/>
  <c r="AE35" i="1"/>
  <c r="L43" i="1"/>
  <c r="L17" i="1"/>
  <c r="O17" i="1" s="1"/>
  <c r="AE19" i="1"/>
  <c r="AE23" i="1"/>
  <c r="O43" i="1"/>
  <c r="L12" i="1"/>
  <c r="O12" i="1" s="1"/>
  <c r="D22" i="1"/>
  <c r="E22" i="1"/>
  <c r="I22" i="1" s="1"/>
  <c r="L23" i="1"/>
  <c r="K23" i="1"/>
  <c r="L57" i="1"/>
  <c r="K57" i="1"/>
  <c r="AE57" i="1"/>
  <c r="L20" i="1"/>
  <c r="AE20" i="1"/>
  <c r="K20" i="1"/>
  <c r="AE14" i="1"/>
  <c r="L36" i="1"/>
  <c r="K36" i="1"/>
  <c r="AE36" i="1"/>
  <c r="AE45" i="1"/>
  <c r="AE11" i="1"/>
  <c r="AE13" i="1"/>
  <c r="L13" i="1"/>
  <c r="O13" i="1" s="1"/>
  <c r="L11" i="1"/>
  <c r="O11" i="1" s="1"/>
  <c r="AE15" i="1"/>
  <c r="L15" i="1"/>
  <c r="O15" i="1" s="1"/>
  <c r="L16" i="1"/>
  <c r="K16" i="1"/>
  <c r="O16" i="1" s="1"/>
  <c r="AE17" i="1"/>
  <c r="K21" i="1"/>
  <c r="AE21" i="1"/>
  <c r="D24" i="1"/>
  <c r="AE25" i="1"/>
  <c r="L26" i="1"/>
  <c r="K26" i="1"/>
  <c r="O26" i="1" s="1"/>
  <c r="L38" i="1"/>
  <c r="O38" i="1" s="1"/>
  <c r="AE53" i="1"/>
  <c r="K53" i="1"/>
  <c r="L53" i="1"/>
  <c r="L21" i="1"/>
  <c r="L31" i="1"/>
  <c r="O31" i="1" s="1"/>
  <c r="K34" i="1"/>
  <c r="L34" i="1"/>
  <c r="AE34" i="1"/>
  <c r="AE41" i="1"/>
  <c r="L46" i="1"/>
  <c r="K46" i="1"/>
  <c r="O46" i="1" s="1"/>
  <c r="AE46" i="1"/>
  <c r="AE47" i="1"/>
  <c r="L47" i="1"/>
  <c r="K47" i="1"/>
  <c r="AE56" i="1"/>
  <c r="K56" i="1"/>
  <c r="AE30" i="1"/>
  <c r="AE37" i="1"/>
  <c r="AE49" i="1"/>
  <c r="AE50" i="1"/>
  <c r="L56" i="1"/>
  <c r="C21" i="1"/>
  <c r="D21" i="1" s="1"/>
  <c r="L24" i="1"/>
  <c r="O24" i="1" s="1"/>
  <c r="AE24" i="1"/>
  <c r="L27" i="1"/>
  <c r="O27" i="1" s="1"/>
  <c r="AE27" i="1"/>
  <c r="K30" i="1"/>
  <c r="O30" i="1" s="1"/>
  <c r="L48" i="1"/>
  <c r="O48" i="1" s="1"/>
  <c r="K49" i="1"/>
  <c r="O49" i="1" s="1"/>
  <c r="K50" i="1"/>
  <c r="AE54" i="1"/>
  <c r="K54" i="1"/>
  <c r="D31" i="1"/>
  <c r="AE44" i="1"/>
  <c r="L45" i="1"/>
  <c r="O45" i="1" s="1"/>
  <c r="AE52" i="1"/>
  <c r="L52" i="1"/>
  <c r="AE59" i="1"/>
  <c r="L59" i="1"/>
  <c r="K59" i="1"/>
  <c r="L35" i="1"/>
  <c r="K35" i="1"/>
  <c r="O35" i="1" s="1"/>
  <c r="L41" i="1"/>
  <c r="AE43" i="1"/>
  <c r="O52" i="1"/>
  <c r="AE58" i="1"/>
  <c r="L58" i="1"/>
  <c r="K58" i="1"/>
  <c r="O58" i="1" s="1"/>
  <c r="AE31" i="1"/>
  <c r="L37" i="1"/>
  <c r="O37" i="1" s="1"/>
  <c r="I40" i="1"/>
  <c r="K41" i="1"/>
  <c r="AE42" i="1"/>
  <c r="L44" i="1"/>
  <c r="O44" i="1" s="1"/>
  <c r="L69" i="1"/>
  <c r="K69" i="1"/>
  <c r="O69" i="1" s="1"/>
  <c r="L25" i="1"/>
  <c r="O25" i="1" s="1"/>
  <c r="G77" i="1"/>
  <c r="H87" i="1" s="1"/>
  <c r="H88" i="1" s="1"/>
  <c r="AJ36" i="1"/>
  <c r="K60" i="1"/>
  <c r="L60" i="1"/>
  <c r="AE60" i="1"/>
  <c r="K63" i="1"/>
  <c r="L63" i="1"/>
  <c r="AE63" i="1"/>
  <c r="L70" i="1"/>
  <c r="K70" i="1"/>
  <c r="O70" i="1" s="1"/>
  <c r="O71" i="1"/>
  <c r="K74" i="1"/>
  <c r="L74" i="1"/>
  <c r="L76" i="1"/>
  <c r="K76" i="1"/>
  <c r="K61" i="1"/>
  <c r="L61" i="1"/>
  <c r="K64" i="1"/>
  <c r="L64" i="1"/>
  <c r="L66" i="1"/>
  <c r="O66" i="1" s="1"/>
  <c r="AE66" i="1"/>
  <c r="AE68" i="1"/>
  <c r="L68" i="1"/>
  <c r="K68" i="1"/>
  <c r="L73" i="1"/>
  <c r="K73" i="1"/>
  <c r="O73" i="1" s="1"/>
  <c r="K67" i="1"/>
  <c r="AE67" i="1"/>
  <c r="L72" i="1"/>
  <c r="K72" i="1"/>
  <c r="K62" i="1"/>
  <c r="L62" i="1"/>
  <c r="L65" i="1"/>
  <c r="K65" i="1"/>
  <c r="O65" i="1" s="1"/>
  <c r="AE65" i="1"/>
  <c r="L67" i="1"/>
  <c r="L75" i="1"/>
  <c r="K75" i="1"/>
  <c r="O75" i="1" s="1"/>
  <c r="AE33" i="1" l="1"/>
  <c r="O54" i="1"/>
  <c r="L33" i="1"/>
  <c r="O33" i="1" s="1"/>
  <c r="K39" i="1"/>
  <c r="O59" i="1"/>
  <c r="O50" i="1"/>
  <c r="L39" i="1"/>
  <c r="AE28" i="1"/>
  <c r="L28" i="1"/>
  <c r="O28" i="1" s="1"/>
  <c r="AC28" i="1" s="1"/>
  <c r="O41" i="1"/>
  <c r="AC41" i="1" s="1"/>
  <c r="O34" i="1"/>
  <c r="AB34" i="1" s="1"/>
  <c r="O53" i="1"/>
  <c r="AB25" i="1"/>
  <c r="AC25" i="1"/>
  <c r="T25" i="1"/>
  <c r="Z25" i="1"/>
  <c r="AA25" i="1"/>
  <c r="S25" i="1"/>
  <c r="S17" i="1"/>
  <c r="AB17" i="1"/>
  <c r="AA17" i="1"/>
  <c r="T17" i="1"/>
  <c r="AC17" i="1"/>
  <c r="Z17" i="1"/>
  <c r="Z12" i="1"/>
  <c r="S12" i="1"/>
  <c r="AC12" i="1"/>
  <c r="T12" i="1"/>
  <c r="AB12" i="1"/>
  <c r="AA12" i="1"/>
  <c r="AB45" i="1"/>
  <c r="AA45" i="1"/>
  <c r="T45" i="1"/>
  <c r="Z45" i="1"/>
  <c r="S45" i="1"/>
  <c r="AC45" i="1"/>
  <c r="AC15" i="1"/>
  <c r="Z15" i="1"/>
  <c r="S15" i="1"/>
  <c r="AA15" i="1"/>
  <c r="T15" i="1"/>
  <c r="AB15" i="1"/>
  <c r="S31" i="1"/>
  <c r="AC31" i="1"/>
  <c r="AB31" i="1"/>
  <c r="T31" i="1"/>
  <c r="AA31" i="1"/>
  <c r="Z31" i="1"/>
  <c r="S42" i="1"/>
  <c r="AB42" i="1"/>
  <c r="Z42" i="1"/>
  <c r="T42" i="1"/>
  <c r="AC42" i="1"/>
  <c r="AA42" i="1"/>
  <c r="AC66" i="1"/>
  <c r="AB66" i="1"/>
  <c r="Z66" i="1"/>
  <c r="T66" i="1"/>
  <c r="S66" i="1"/>
  <c r="AA66" i="1"/>
  <c r="S13" i="1"/>
  <c r="AC13" i="1"/>
  <c r="T13" i="1"/>
  <c r="AB13" i="1"/>
  <c r="AA13" i="1"/>
  <c r="Z13" i="1"/>
  <c r="AC71" i="1"/>
  <c r="AA71" i="1"/>
  <c r="Z71" i="1"/>
  <c r="T71" i="1"/>
  <c r="S71" i="1"/>
  <c r="AB71" i="1"/>
  <c r="Z69" i="1"/>
  <c r="T69" i="1"/>
  <c r="S69" i="1"/>
  <c r="AC69" i="1"/>
  <c r="AB69" i="1"/>
  <c r="AA69" i="1"/>
  <c r="AC52" i="1"/>
  <c r="Z52" i="1"/>
  <c r="S52" i="1"/>
  <c r="AB52" i="1"/>
  <c r="AA52" i="1"/>
  <c r="T52" i="1"/>
  <c r="AB24" i="1"/>
  <c r="AA24" i="1"/>
  <c r="S24" i="1"/>
  <c r="AC24" i="1"/>
  <c r="Z24" i="1"/>
  <c r="T24" i="1"/>
  <c r="S30" i="1"/>
  <c r="Z30" i="1"/>
  <c r="AA30" i="1"/>
  <c r="AC30" i="1"/>
  <c r="T30" i="1"/>
  <c r="AB30" i="1"/>
  <c r="O56" i="1"/>
  <c r="AB46" i="1"/>
  <c r="T46" i="1"/>
  <c r="AC46" i="1"/>
  <c r="S46" i="1"/>
  <c r="AA46" i="1"/>
  <c r="Z46" i="1"/>
  <c r="AC38" i="1"/>
  <c r="AA38" i="1"/>
  <c r="T38" i="1"/>
  <c r="S38" i="1"/>
  <c r="AB38" i="1"/>
  <c r="Z38" i="1"/>
  <c r="AC11" i="1"/>
  <c r="AB11" i="1"/>
  <c r="AA11" i="1"/>
  <c r="T11" i="1"/>
  <c r="Z11" i="1"/>
  <c r="S11" i="1"/>
  <c r="AB65" i="1"/>
  <c r="AA65" i="1"/>
  <c r="S65" i="1"/>
  <c r="AC65" i="1"/>
  <c r="T65" i="1"/>
  <c r="Z65" i="1"/>
  <c r="O61" i="1"/>
  <c r="AB70" i="1"/>
  <c r="AA70" i="1"/>
  <c r="S70" i="1"/>
  <c r="AC70" i="1"/>
  <c r="Z70" i="1"/>
  <c r="T70" i="1"/>
  <c r="AC54" i="1"/>
  <c r="S54" i="1"/>
  <c r="T54" i="1"/>
  <c r="AB54" i="1"/>
  <c r="AA54" i="1"/>
  <c r="Z54" i="1"/>
  <c r="O20" i="1"/>
  <c r="Z43" i="1"/>
  <c r="T43" i="1"/>
  <c r="AB43" i="1"/>
  <c r="S43" i="1"/>
  <c r="AC43" i="1"/>
  <c r="AA43" i="1"/>
  <c r="O67" i="1"/>
  <c r="O76" i="1"/>
  <c r="O60" i="1"/>
  <c r="AA44" i="1"/>
  <c r="AB44" i="1"/>
  <c r="T44" i="1"/>
  <c r="S44" i="1"/>
  <c r="AC44" i="1"/>
  <c r="Z44" i="1"/>
  <c r="O47" i="1"/>
  <c r="O21" i="1"/>
  <c r="O36" i="1"/>
  <c r="O23" i="1"/>
  <c r="AB19" i="1"/>
  <c r="AC19" i="1"/>
  <c r="AA19" i="1"/>
  <c r="T19" i="1"/>
  <c r="Z19" i="1"/>
  <c r="S19" i="1"/>
  <c r="Z75" i="1"/>
  <c r="T75" i="1"/>
  <c r="S75" i="1"/>
  <c r="AC75" i="1"/>
  <c r="AB75" i="1"/>
  <c r="AA75" i="1"/>
  <c r="AB73" i="1"/>
  <c r="AA73" i="1"/>
  <c r="S73" i="1"/>
  <c r="AC73" i="1"/>
  <c r="Z73" i="1"/>
  <c r="T73" i="1"/>
  <c r="Z58" i="1"/>
  <c r="T58" i="1"/>
  <c r="AC58" i="1"/>
  <c r="AB58" i="1"/>
  <c r="AA58" i="1"/>
  <c r="S58" i="1"/>
  <c r="AC37" i="1"/>
  <c r="AA37" i="1"/>
  <c r="T37" i="1"/>
  <c r="Z37" i="1"/>
  <c r="S37" i="1"/>
  <c r="AB37" i="1"/>
  <c r="Z59" i="1"/>
  <c r="T59" i="1"/>
  <c r="S59" i="1"/>
  <c r="AC59" i="1"/>
  <c r="AB59" i="1"/>
  <c r="AA59" i="1"/>
  <c r="Z50" i="1"/>
  <c r="T50" i="1"/>
  <c r="AA50" i="1"/>
  <c r="S50" i="1"/>
  <c r="AC50" i="1"/>
  <c r="AB50" i="1"/>
  <c r="AB53" i="1"/>
  <c r="AC53" i="1"/>
  <c r="S53" i="1"/>
  <c r="AA53" i="1"/>
  <c r="Z53" i="1"/>
  <c r="T53" i="1"/>
  <c r="AB26" i="1"/>
  <c r="Z26" i="1"/>
  <c r="S26" i="1"/>
  <c r="AC26" i="1"/>
  <c r="T26" i="1"/>
  <c r="AA26" i="1"/>
  <c r="AB28" i="1"/>
  <c r="Z18" i="1"/>
  <c r="T18" i="1"/>
  <c r="AB18" i="1"/>
  <c r="AA18" i="1"/>
  <c r="S18" i="1"/>
  <c r="AC18" i="1"/>
  <c r="O62" i="1"/>
  <c r="AB35" i="1"/>
  <c r="Z35" i="1"/>
  <c r="T35" i="1"/>
  <c r="AC35" i="1"/>
  <c r="S35" i="1"/>
  <c r="AA35" i="1"/>
  <c r="S49" i="1"/>
  <c r="AA49" i="1"/>
  <c r="T49" i="1"/>
  <c r="AC49" i="1"/>
  <c r="AB49" i="1"/>
  <c r="Z49" i="1"/>
  <c r="AC16" i="1"/>
  <c r="AB16" i="1"/>
  <c r="Z16" i="1"/>
  <c r="T16" i="1"/>
  <c r="AA16" i="1"/>
  <c r="S16" i="1"/>
  <c r="AA29" i="1"/>
  <c r="T29" i="1"/>
  <c r="AC29" i="1"/>
  <c r="AB29" i="1"/>
  <c r="S29" i="1"/>
  <c r="Z29" i="1"/>
  <c r="K22" i="1"/>
  <c r="L22" i="1"/>
  <c r="AE22" i="1"/>
  <c r="Z32" i="1"/>
  <c r="T32" i="1"/>
  <c r="AB32" i="1"/>
  <c r="S32" i="1"/>
  <c r="AA32" i="1"/>
  <c r="AC32" i="1"/>
  <c r="S55" i="1"/>
  <c r="AA55" i="1"/>
  <c r="AC55" i="1"/>
  <c r="T55" i="1"/>
  <c r="Z55" i="1"/>
  <c r="AB55" i="1"/>
  <c r="O72" i="1"/>
  <c r="AC72" i="1" s="1"/>
  <c r="O68" i="1"/>
  <c r="O64" i="1"/>
  <c r="O74" i="1"/>
  <c r="O63" i="1"/>
  <c r="K40" i="1"/>
  <c r="AE40" i="1"/>
  <c r="L40" i="1"/>
  <c r="AB27" i="1"/>
  <c r="AA27" i="1"/>
  <c r="S27" i="1"/>
  <c r="Z27" i="1"/>
  <c r="AC27" i="1"/>
  <c r="T27" i="1"/>
  <c r="AB48" i="1"/>
  <c r="Z48" i="1"/>
  <c r="S48" i="1"/>
  <c r="T48" i="1"/>
  <c r="AC48" i="1"/>
  <c r="AA48" i="1"/>
  <c r="O57" i="1"/>
  <c r="Z14" i="1"/>
  <c r="T14" i="1"/>
  <c r="AC14" i="1"/>
  <c r="S14" i="1"/>
  <c r="AB14" i="1"/>
  <c r="AA14" i="1"/>
  <c r="AB51" i="1"/>
  <c r="AA51" i="1"/>
  <c r="T51" i="1"/>
  <c r="S51" i="1"/>
  <c r="AC51" i="1"/>
  <c r="Z51" i="1"/>
  <c r="AB33" i="1" l="1"/>
  <c r="S33" i="1"/>
  <c r="AA33" i="1"/>
  <c r="Z33" i="1"/>
  <c r="AC33" i="1"/>
  <c r="T33" i="1"/>
  <c r="Z34" i="1"/>
  <c r="AD34" i="1" s="1"/>
  <c r="AC34" i="1"/>
  <c r="T34" i="1"/>
  <c r="Z41" i="1"/>
  <c r="AD41" i="1" s="1"/>
  <c r="AA34" i="1"/>
  <c r="O39" i="1"/>
  <c r="AB41" i="1"/>
  <c r="S41" i="1"/>
  <c r="S34" i="1"/>
  <c r="Z28" i="1"/>
  <c r="S28" i="1"/>
  <c r="T41" i="1"/>
  <c r="AA28" i="1"/>
  <c r="AD28" i="1" s="1"/>
  <c r="AA41" i="1"/>
  <c r="T28" i="1"/>
  <c r="O40" i="1"/>
  <c r="Z40" i="1" s="1"/>
  <c r="U48" i="1"/>
  <c r="Y48" i="1" s="1"/>
  <c r="AG48" i="1" s="1"/>
  <c r="W48" i="1"/>
  <c r="V48" i="1"/>
  <c r="V16" i="1"/>
  <c r="U16" i="1"/>
  <c r="W16" i="1"/>
  <c r="AD35" i="1"/>
  <c r="X35" i="1"/>
  <c r="X26" i="1"/>
  <c r="AD26" i="1"/>
  <c r="AB23" i="1"/>
  <c r="Z23" i="1"/>
  <c r="S23" i="1"/>
  <c r="AC23" i="1"/>
  <c r="T23" i="1"/>
  <c r="AA23" i="1"/>
  <c r="V51" i="1"/>
  <c r="W51" i="1"/>
  <c r="U51" i="1"/>
  <c r="AD48" i="1"/>
  <c r="X48" i="1"/>
  <c r="AA63" i="1"/>
  <c r="Z63" i="1"/>
  <c r="T63" i="1"/>
  <c r="AC63" i="1"/>
  <c r="AB63" i="1"/>
  <c r="S63" i="1"/>
  <c r="X49" i="1"/>
  <c r="AD49" i="1"/>
  <c r="X28" i="1"/>
  <c r="U50" i="1"/>
  <c r="W50" i="1"/>
  <c r="V50" i="1"/>
  <c r="AD58" i="1"/>
  <c r="X58" i="1"/>
  <c r="W14" i="1"/>
  <c r="V14" i="1"/>
  <c r="U14" i="1"/>
  <c r="X55" i="1"/>
  <c r="AD55" i="1"/>
  <c r="AA64" i="1"/>
  <c r="Z64" i="1"/>
  <c r="T64" i="1"/>
  <c r="AC64" i="1"/>
  <c r="AB64" i="1"/>
  <c r="S64" i="1"/>
  <c r="W32" i="1"/>
  <c r="V32" i="1"/>
  <c r="U32" i="1"/>
  <c r="V35" i="1"/>
  <c r="W35" i="1"/>
  <c r="U35" i="1"/>
  <c r="X34" i="1"/>
  <c r="W59" i="1"/>
  <c r="V59" i="1"/>
  <c r="U59" i="1"/>
  <c r="AC47" i="1"/>
  <c r="AB47" i="1"/>
  <c r="T47" i="1"/>
  <c r="S47" i="1"/>
  <c r="AA47" i="1"/>
  <c r="Z47" i="1"/>
  <c r="AA20" i="1"/>
  <c r="AC20" i="1"/>
  <c r="Z20" i="1"/>
  <c r="S20" i="1"/>
  <c r="T20" i="1"/>
  <c r="AB20" i="1"/>
  <c r="W54" i="1"/>
  <c r="U54" i="1"/>
  <c r="V54" i="1"/>
  <c r="V70" i="1"/>
  <c r="U70" i="1"/>
  <c r="W70" i="1"/>
  <c r="W11" i="1"/>
  <c r="U11" i="1"/>
  <c r="V11" i="1"/>
  <c r="X24" i="1"/>
  <c r="AD24" i="1"/>
  <c r="AD71" i="1"/>
  <c r="X71" i="1"/>
  <c r="X31" i="1"/>
  <c r="AD31" i="1"/>
  <c r="V31" i="1"/>
  <c r="U31" i="1"/>
  <c r="W31" i="1"/>
  <c r="S68" i="1"/>
  <c r="AB68" i="1"/>
  <c r="AA68" i="1"/>
  <c r="Z68" i="1"/>
  <c r="T68" i="1"/>
  <c r="AC68" i="1"/>
  <c r="O22" i="1"/>
  <c r="AD16" i="1"/>
  <c r="X16" i="1"/>
  <c r="AA62" i="1"/>
  <c r="Z62" i="1"/>
  <c r="T62" i="1"/>
  <c r="AC62" i="1"/>
  <c r="AB62" i="1"/>
  <c r="S62" i="1"/>
  <c r="X18" i="1"/>
  <c r="AD18" i="1"/>
  <c r="AD53" i="1"/>
  <c r="X53" i="1"/>
  <c r="X50" i="1"/>
  <c r="AD50" i="1"/>
  <c r="AD37" i="1"/>
  <c r="X37" i="1"/>
  <c r="AD73" i="1"/>
  <c r="X73" i="1"/>
  <c r="AD75" i="1"/>
  <c r="X75" i="1"/>
  <c r="X44" i="1"/>
  <c r="AD44" i="1"/>
  <c r="U43" i="1"/>
  <c r="W43" i="1"/>
  <c r="V43" i="1"/>
  <c r="X54" i="1"/>
  <c r="AD54" i="1"/>
  <c r="AD33" i="1"/>
  <c r="X33" i="1"/>
  <c r="AD38" i="1"/>
  <c r="X38" i="1"/>
  <c r="X69" i="1"/>
  <c r="AD69" i="1"/>
  <c r="AD66" i="1"/>
  <c r="X66" i="1"/>
  <c r="AD14" i="1"/>
  <c r="X14" i="1"/>
  <c r="Z72" i="1"/>
  <c r="T72" i="1"/>
  <c r="S72" i="1"/>
  <c r="AB72" i="1"/>
  <c r="AA72" i="1"/>
  <c r="AD29" i="1"/>
  <c r="X29" i="1"/>
  <c r="V41" i="1"/>
  <c r="W41" i="1"/>
  <c r="U41" i="1"/>
  <c r="V26" i="1"/>
  <c r="U26" i="1"/>
  <c r="W26" i="1"/>
  <c r="U34" i="1"/>
  <c r="W34" i="1"/>
  <c r="V34" i="1"/>
  <c r="AD59" i="1"/>
  <c r="X59" i="1"/>
  <c r="V19" i="1"/>
  <c r="U19" i="1"/>
  <c r="W19" i="1"/>
  <c r="AA60" i="1"/>
  <c r="Z60" i="1"/>
  <c r="T60" i="1"/>
  <c r="AC60" i="1"/>
  <c r="AB60" i="1"/>
  <c r="S60" i="1"/>
  <c r="AD11" i="1"/>
  <c r="X11" i="1"/>
  <c r="AD46" i="1"/>
  <c r="X46" i="1"/>
  <c r="U12" i="1"/>
  <c r="W12" i="1"/>
  <c r="V12" i="1"/>
  <c r="AD25" i="1"/>
  <c r="X25" i="1"/>
  <c r="X27" i="1"/>
  <c r="AD27" i="1"/>
  <c r="W29" i="1"/>
  <c r="V29" i="1"/>
  <c r="U29" i="1"/>
  <c r="V73" i="1"/>
  <c r="U73" i="1"/>
  <c r="W73" i="1"/>
  <c r="AD19" i="1"/>
  <c r="X19" i="1"/>
  <c r="U44" i="1"/>
  <c r="W44" i="1"/>
  <c r="V44" i="1"/>
  <c r="W33" i="1"/>
  <c r="V33" i="1"/>
  <c r="U33" i="1"/>
  <c r="Y33" i="1" s="1"/>
  <c r="AG33" i="1" s="1"/>
  <c r="V65" i="1"/>
  <c r="U65" i="1"/>
  <c r="W65" i="1"/>
  <c r="W38" i="1"/>
  <c r="V38" i="1"/>
  <c r="U38" i="1"/>
  <c r="AC56" i="1"/>
  <c r="AB56" i="1"/>
  <c r="AA56" i="1"/>
  <c r="T56" i="1"/>
  <c r="S56" i="1"/>
  <c r="Z56" i="1"/>
  <c r="X30" i="1"/>
  <c r="AD30" i="1"/>
  <c r="V24" i="1"/>
  <c r="W24" i="1"/>
  <c r="U24" i="1"/>
  <c r="Y24" i="1" s="1"/>
  <c r="AG24" i="1" s="1"/>
  <c r="W71" i="1"/>
  <c r="U71" i="1"/>
  <c r="V71" i="1"/>
  <c r="Y71" i="1" s="1"/>
  <c r="X13" i="1"/>
  <c r="AD13" i="1"/>
  <c r="W13" i="1"/>
  <c r="U13" i="1"/>
  <c r="V13" i="1"/>
  <c r="AD42" i="1"/>
  <c r="X42" i="1"/>
  <c r="V45" i="1"/>
  <c r="W45" i="1"/>
  <c r="U45" i="1"/>
  <c r="AD12" i="1"/>
  <c r="X12" i="1"/>
  <c r="U55" i="1"/>
  <c r="W55" i="1"/>
  <c r="V55" i="1"/>
  <c r="W53" i="1"/>
  <c r="U53" i="1"/>
  <c r="V53" i="1"/>
  <c r="Y53" i="1" s="1"/>
  <c r="AB76" i="1"/>
  <c r="AA76" i="1"/>
  <c r="S76" i="1"/>
  <c r="AC76" i="1"/>
  <c r="Z76" i="1"/>
  <c r="T76" i="1"/>
  <c r="AC57" i="1"/>
  <c r="AB57" i="1"/>
  <c r="AA57" i="1"/>
  <c r="Z57" i="1"/>
  <c r="T57" i="1"/>
  <c r="S57" i="1"/>
  <c r="AB36" i="1"/>
  <c r="AA36" i="1"/>
  <c r="T36" i="1"/>
  <c r="S36" i="1"/>
  <c r="AC36" i="1"/>
  <c r="Z36" i="1"/>
  <c r="AC67" i="1"/>
  <c r="AA67" i="1"/>
  <c r="Z67" i="1"/>
  <c r="T67" i="1"/>
  <c r="S67" i="1"/>
  <c r="AB67" i="1"/>
  <c r="AD43" i="1"/>
  <c r="X43" i="1"/>
  <c r="AD70" i="1"/>
  <c r="X70" i="1"/>
  <c r="AA61" i="1"/>
  <c r="Z61" i="1"/>
  <c r="T61" i="1"/>
  <c r="AC61" i="1"/>
  <c r="AB61" i="1"/>
  <c r="S61" i="1"/>
  <c r="V46" i="1"/>
  <c r="W46" i="1"/>
  <c r="U46" i="1"/>
  <c r="Y46" i="1" s="1"/>
  <c r="AG46" i="1" s="1"/>
  <c r="W30" i="1"/>
  <c r="V30" i="1"/>
  <c r="U30" i="1"/>
  <c r="W52" i="1"/>
  <c r="V52" i="1"/>
  <c r="U52" i="1"/>
  <c r="W69" i="1"/>
  <c r="V69" i="1"/>
  <c r="U69" i="1"/>
  <c r="W15" i="1"/>
  <c r="V15" i="1"/>
  <c r="U15" i="1"/>
  <c r="X45" i="1"/>
  <c r="AD45" i="1"/>
  <c r="X17" i="1"/>
  <c r="AD17" i="1"/>
  <c r="U17" i="1"/>
  <c r="W17" i="1"/>
  <c r="V17" i="1"/>
  <c r="AD51" i="1"/>
  <c r="X51" i="1"/>
  <c r="AB40" i="1"/>
  <c r="S40" i="1"/>
  <c r="AA40" i="1"/>
  <c r="X32" i="1"/>
  <c r="AD32" i="1"/>
  <c r="U18" i="1"/>
  <c r="W18" i="1"/>
  <c r="V18" i="1"/>
  <c r="V27" i="1"/>
  <c r="W27" i="1"/>
  <c r="U27" i="1"/>
  <c r="Y27" i="1" s="1"/>
  <c r="AG27" i="1" s="1"/>
  <c r="U49" i="1"/>
  <c r="W49" i="1"/>
  <c r="V49" i="1"/>
  <c r="W75" i="1"/>
  <c r="V75" i="1"/>
  <c r="U75" i="1"/>
  <c r="AC74" i="1"/>
  <c r="AA74" i="1"/>
  <c r="Z74" i="1"/>
  <c r="T74" i="1"/>
  <c r="S74" i="1"/>
  <c r="AB74" i="1"/>
  <c r="V28" i="1"/>
  <c r="U28" i="1"/>
  <c r="W28" i="1"/>
  <c r="W37" i="1"/>
  <c r="V37" i="1"/>
  <c r="U37" i="1"/>
  <c r="Y37" i="1" s="1"/>
  <c r="AG37" i="1" s="1"/>
  <c r="W58" i="1"/>
  <c r="V58" i="1"/>
  <c r="U58" i="1"/>
  <c r="AA21" i="1"/>
  <c r="AB21" i="1"/>
  <c r="T21" i="1"/>
  <c r="AC21" i="1"/>
  <c r="S21" i="1"/>
  <c r="Z21" i="1"/>
  <c r="AD65" i="1"/>
  <c r="X65" i="1"/>
  <c r="X52" i="1"/>
  <c r="AD52" i="1"/>
  <c r="W66" i="1"/>
  <c r="V66" i="1"/>
  <c r="U66" i="1"/>
  <c r="U42" i="1"/>
  <c r="V42" i="1"/>
  <c r="W42" i="1"/>
  <c r="X15" i="1"/>
  <c r="AD15" i="1"/>
  <c r="V25" i="1"/>
  <c r="U25" i="1"/>
  <c r="W25" i="1"/>
  <c r="AG53" i="1" l="1"/>
  <c r="Y69" i="1"/>
  <c r="AG69" i="1" s="1"/>
  <c r="T40" i="1"/>
  <c r="X41" i="1"/>
  <c r="Y44" i="1"/>
  <c r="AG44" i="1" s="1"/>
  <c r="Y75" i="1"/>
  <c r="AG75" i="1" s="1"/>
  <c r="AH75" i="1" s="1"/>
  <c r="AG71" i="1"/>
  <c r="AH71" i="1" s="1"/>
  <c r="AC40" i="1"/>
  <c r="Y14" i="1"/>
  <c r="AG14" i="1" s="1"/>
  <c r="AK14" i="1" s="1"/>
  <c r="AM14" i="1" s="1"/>
  <c r="AN14" i="1" s="1"/>
  <c r="Z39" i="1"/>
  <c r="S39" i="1"/>
  <c r="AC39" i="1"/>
  <c r="T39" i="1"/>
  <c r="AB39" i="1"/>
  <c r="AA39" i="1"/>
  <c r="Y58" i="1"/>
  <c r="AG58" i="1" s="1"/>
  <c r="AH58" i="1" s="1"/>
  <c r="Y30" i="1"/>
  <c r="AG30" i="1" s="1"/>
  <c r="Y41" i="1"/>
  <c r="AG41" i="1" s="1"/>
  <c r="Y25" i="1"/>
  <c r="AG25" i="1" s="1"/>
  <c r="AK25" i="1" s="1"/>
  <c r="AM25" i="1" s="1"/>
  <c r="AN25" i="1" s="1"/>
  <c r="Y42" i="1"/>
  <c r="AG42" i="1" s="1"/>
  <c r="AK42" i="1" s="1"/>
  <c r="AM42" i="1" s="1"/>
  <c r="AN42" i="1" s="1"/>
  <c r="Y66" i="1"/>
  <c r="AG66" i="1" s="1"/>
  <c r="Y28" i="1"/>
  <c r="AG28" i="1" s="1"/>
  <c r="AK28" i="1" s="1"/>
  <c r="AM28" i="1" s="1"/>
  <c r="AN28" i="1" s="1"/>
  <c r="Y49" i="1"/>
  <c r="AG49" i="1" s="1"/>
  <c r="AH49" i="1" s="1"/>
  <c r="Y18" i="1"/>
  <c r="AG18" i="1" s="1"/>
  <c r="AH18" i="1" s="1"/>
  <c r="Y17" i="1"/>
  <c r="AG17" i="1" s="1"/>
  <c r="Y15" i="1"/>
  <c r="AG15" i="1" s="1"/>
  <c r="Y52" i="1"/>
  <c r="Y55" i="1"/>
  <c r="AG55" i="1" s="1"/>
  <c r="Y45" i="1"/>
  <c r="Y13" i="1"/>
  <c r="AG13" i="1" s="1"/>
  <c r="Y38" i="1"/>
  <c r="AG38" i="1" s="1"/>
  <c r="AK38" i="1" s="1"/>
  <c r="AM38" i="1" s="1"/>
  <c r="AN38" i="1" s="1"/>
  <c r="Y65" i="1"/>
  <c r="AG65" i="1" s="1"/>
  <c r="Y73" i="1"/>
  <c r="AG73" i="1" s="1"/>
  <c r="AH73" i="1" s="1"/>
  <c r="Y29" i="1"/>
  <c r="AG29" i="1" s="1"/>
  <c r="AK29" i="1" s="1"/>
  <c r="AM29" i="1" s="1"/>
  <c r="AN29" i="1" s="1"/>
  <c r="Y12" i="1"/>
  <c r="AG12" i="1" s="1"/>
  <c r="AH12" i="1" s="1"/>
  <c r="Y19" i="1"/>
  <c r="AG19" i="1" s="1"/>
  <c r="AK19" i="1" s="1"/>
  <c r="AM19" i="1" s="1"/>
  <c r="AN19" i="1" s="1"/>
  <c r="Y34" i="1"/>
  <c r="AG34" i="1" s="1"/>
  <c r="Y26" i="1"/>
  <c r="AG26" i="1" s="1"/>
  <c r="Y43" i="1"/>
  <c r="AG43" i="1" s="1"/>
  <c r="Y31" i="1"/>
  <c r="AG31" i="1" s="1"/>
  <c r="Y11" i="1"/>
  <c r="AG11" i="1" s="1"/>
  <c r="Y70" i="1"/>
  <c r="AG70" i="1" s="1"/>
  <c r="AK70" i="1" s="1"/>
  <c r="AM70" i="1" s="1"/>
  <c r="AN70" i="1" s="1"/>
  <c r="Y54" i="1"/>
  <c r="AG54" i="1" s="1"/>
  <c r="AK54" i="1" s="1"/>
  <c r="AM54" i="1" s="1"/>
  <c r="AN54" i="1" s="1"/>
  <c r="Y59" i="1"/>
  <c r="AG59" i="1" s="1"/>
  <c r="Y35" i="1"/>
  <c r="AG35" i="1" s="1"/>
  <c r="AH35" i="1" s="1"/>
  <c r="Y32" i="1"/>
  <c r="AG32" i="1" s="1"/>
  <c r="Y50" i="1"/>
  <c r="AG50" i="1" s="1"/>
  <c r="AH50" i="1" s="1"/>
  <c r="Y51" i="1"/>
  <c r="AG51" i="1" s="1"/>
  <c r="AH51" i="1" s="1"/>
  <c r="Y16" i="1"/>
  <c r="AG16" i="1" s="1"/>
  <c r="AK24" i="1"/>
  <c r="AM24" i="1" s="1"/>
  <c r="AN24" i="1" s="1"/>
  <c r="AH24" i="1"/>
  <c r="AH38" i="1"/>
  <c r="AK15" i="1"/>
  <c r="AM15" i="1" s="1"/>
  <c r="AN15" i="1" s="1"/>
  <c r="AH15" i="1"/>
  <c r="AK73" i="1"/>
  <c r="AM73" i="1" s="1"/>
  <c r="AN73" i="1" s="1"/>
  <c r="AK53" i="1"/>
  <c r="AM53" i="1" s="1"/>
  <c r="AN53" i="1" s="1"/>
  <c r="AH53" i="1"/>
  <c r="AH26" i="1"/>
  <c r="AK26" i="1"/>
  <c r="AM26" i="1" s="1"/>
  <c r="AN26" i="1" s="1"/>
  <c r="AK16" i="1"/>
  <c r="AM16" i="1" s="1"/>
  <c r="AN16" i="1" s="1"/>
  <c r="AH16" i="1"/>
  <c r="AK37" i="1"/>
  <c r="AM37" i="1" s="1"/>
  <c r="AN37" i="1" s="1"/>
  <c r="AH37" i="1"/>
  <c r="AH70" i="1"/>
  <c r="AH46" i="1"/>
  <c r="AK46" i="1"/>
  <c r="AM46" i="1" s="1"/>
  <c r="AN46" i="1" s="1"/>
  <c r="AK66" i="1"/>
  <c r="AM66" i="1" s="1"/>
  <c r="AN66" i="1" s="1"/>
  <c r="AH66" i="1"/>
  <c r="AK27" i="1"/>
  <c r="AM27" i="1" s="1"/>
  <c r="AN27" i="1" s="1"/>
  <c r="AH27" i="1"/>
  <c r="AK71" i="1"/>
  <c r="AM71" i="1" s="1"/>
  <c r="AN71" i="1" s="1"/>
  <c r="AH54" i="1"/>
  <c r="AK11" i="1"/>
  <c r="AM11" i="1" s="1"/>
  <c r="AN11" i="1" s="1"/>
  <c r="AH11" i="1"/>
  <c r="AK50" i="1"/>
  <c r="AM50" i="1" s="1"/>
  <c r="AN50" i="1" s="1"/>
  <c r="AH34" i="1"/>
  <c r="AK34" i="1"/>
  <c r="AM34" i="1" s="1"/>
  <c r="AN34" i="1" s="1"/>
  <c r="AH44" i="1"/>
  <c r="AK44" i="1"/>
  <c r="AM44" i="1" s="1"/>
  <c r="AN44" i="1" s="1"/>
  <c r="AK43" i="1"/>
  <c r="AM43" i="1" s="1"/>
  <c r="AN43" i="1" s="1"/>
  <c r="AH43" i="1"/>
  <c r="AK58" i="1"/>
  <c r="AM58" i="1" s="1"/>
  <c r="AN58" i="1" s="1"/>
  <c r="AK17" i="1"/>
  <c r="AM17" i="1" s="1"/>
  <c r="AN17" i="1" s="1"/>
  <c r="AH17" i="1"/>
  <c r="AH69" i="1"/>
  <c r="AK69" i="1"/>
  <c r="AM69" i="1" s="1"/>
  <c r="AN69" i="1" s="1"/>
  <c r="AH30" i="1"/>
  <c r="AK30" i="1"/>
  <c r="AM30" i="1" s="1"/>
  <c r="AN30" i="1" s="1"/>
  <c r="AH13" i="1"/>
  <c r="AK13" i="1"/>
  <c r="AM13" i="1" s="1"/>
  <c r="AN13" i="1" s="1"/>
  <c r="AH33" i="1"/>
  <c r="AK33" i="1"/>
  <c r="AM33" i="1" s="1"/>
  <c r="AN33" i="1" s="1"/>
  <c r="AH29" i="1"/>
  <c r="AH41" i="1"/>
  <c r="AK41" i="1"/>
  <c r="AM41" i="1" s="1"/>
  <c r="AN41" i="1" s="1"/>
  <c r="AK31" i="1"/>
  <c r="AM31" i="1" s="1"/>
  <c r="AN31" i="1" s="1"/>
  <c r="AH31" i="1"/>
  <c r="AK59" i="1"/>
  <c r="AM59" i="1" s="1"/>
  <c r="AN59" i="1" s="1"/>
  <c r="AH59" i="1"/>
  <c r="AK32" i="1"/>
  <c r="AM32" i="1" s="1"/>
  <c r="AN32" i="1" s="1"/>
  <c r="AH32" i="1"/>
  <c r="W74" i="1"/>
  <c r="U74" i="1"/>
  <c r="V74" i="1"/>
  <c r="AD36" i="1"/>
  <c r="X36" i="1"/>
  <c r="U62" i="1"/>
  <c r="W62" i="1"/>
  <c r="V62" i="1"/>
  <c r="AG52" i="1"/>
  <c r="AK48" i="1"/>
  <c r="AM48" i="1" s="1"/>
  <c r="AN48" i="1" s="1"/>
  <c r="AH48" i="1"/>
  <c r="AD68" i="1"/>
  <c r="X68" i="1"/>
  <c r="AG45" i="1"/>
  <c r="U64" i="1"/>
  <c r="W64" i="1"/>
  <c r="V64" i="1"/>
  <c r="U63" i="1"/>
  <c r="W63" i="1"/>
  <c r="V63" i="1"/>
  <c r="AD67" i="1"/>
  <c r="X67" i="1"/>
  <c r="V36" i="1"/>
  <c r="W36" i="1"/>
  <c r="U36" i="1"/>
  <c r="X57" i="1"/>
  <c r="AD57" i="1"/>
  <c r="AH55" i="1"/>
  <c r="AK55" i="1"/>
  <c r="AM55" i="1" s="1"/>
  <c r="AN55" i="1" s="1"/>
  <c r="X23" i="1"/>
  <c r="AD23" i="1"/>
  <c r="W57" i="1"/>
  <c r="V57" i="1"/>
  <c r="U57" i="1"/>
  <c r="Y57" i="1" s="1"/>
  <c r="AG57" i="1" s="1"/>
  <c r="AD56" i="1"/>
  <c r="X56" i="1"/>
  <c r="U60" i="1"/>
  <c r="W60" i="1"/>
  <c r="V60" i="1"/>
  <c r="W72" i="1"/>
  <c r="V72" i="1"/>
  <c r="U72" i="1"/>
  <c r="X47" i="1"/>
  <c r="AD47" i="1"/>
  <c r="W67" i="1"/>
  <c r="U67" i="1"/>
  <c r="V67" i="1"/>
  <c r="AH14" i="1"/>
  <c r="AD20" i="1"/>
  <c r="X20" i="1"/>
  <c r="V76" i="1"/>
  <c r="U76" i="1"/>
  <c r="W76" i="1"/>
  <c r="AD60" i="1"/>
  <c r="X60" i="1"/>
  <c r="AD21" i="1"/>
  <c r="X21" i="1"/>
  <c r="AD61" i="1"/>
  <c r="X61" i="1"/>
  <c r="AD62" i="1"/>
  <c r="X62" i="1"/>
  <c r="AA22" i="1"/>
  <c r="Z22" i="1"/>
  <c r="S22" i="1"/>
  <c r="AB22" i="1"/>
  <c r="T22" i="1"/>
  <c r="AC22" i="1"/>
  <c r="U61" i="1"/>
  <c r="Y61" i="1" s="1"/>
  <c r="AG61" i="1" s="1"/>
  <c r="W61" i="1"/>
  <c r="V61" i="1"/>
  <c r="Y60" i="1"/>
  <c r="AG60" i="1" s="1"/>
  <c r="AD72" i="1"/>
  <c r="X72" i="1"/>
  <c r="W40" i="1"/>
  <c r="V40" i="1"/>
  <c r="U40" i="1"/>
  <c r="AD74" i="1"/>
  <c r="X74" i="1"/>
  <c r="U21" i="1"/>
  <c r="V21" i="1"/>
  <c r="W21" i="1"/>
  <c r="AD40" i="1"/>
  <c r="X40" i="1"/>
  <c r="AD76" i="1"/>
  <c r="X76" i="1"/>
  <c r="W56" i="1"/>
  <c r="V56" i="1"/>
  <c r="U56" i="1"/>
  <c r="Y72" i="1"/>
  <c r="AG72" i="1" s="1"/>
  <c r="V68" i="1"/>
  <c r="U68" i="1"/>
  <c r="W68" i="1"/>
  <c r="V20" i="1"/>
  <c r="W20" i="1"/>
  <c r="U20" i="1"/>
  <c r="W47" i="1"/>
  <c r="U47" i="1"/>
  <c r="V47" i="1"/>
  <c r="AD64" i="1"/>
  <c r="X64" i="1"/>
  <c r="Y64" i="1" s="1"/>
  <c r="AG64" i="1" s="1"/>
  <c r="AD63" i="1"/>
  <c r="X63" i="1"/>
  <c r="V23" i="1"/>
  <c r="U23" i="1"/>
  <c r="W23" i="1"/>
  <c r="AH19" i="1" l="1"/>
  <c r="AK51" i="1"/>
  <c r="AM51" i="1" s="1"/>
  <c r="AN51" i="1" s="1"/>
  <c r="AK35" i="1"/>
  <c r="AM35" i="1" s="1"/>
  <c r="AN35" i="1" s="1"/>
  <c r="AK49" i="1"/>
  <c r="AM49" i="1" s="1"/>
  <c r="AN49" i="1" s="1"/>
  <c r="AK18" i="1"/>
  <c r="AM18" i="1" s="1"/>
  <c r="AN18" i="1" s="1"/>
  <c r="AO18" i="1" s="1"/>
  <c r="AH28" i="1"/>
  <c r="X39" i="1"/>
  <c r="AD39" i="1"/>
  <c r="AK12" i="1"/>
  <c r="AM12" i="1" s="1"/>
  <c r="AN12" i="1" s="1"/>
  <c r="AO12" i="1" s="1"/>
  <c r="AH42" i="1"/>
  <c r="AH25" i="1"/>
  <c r="AK75" i="1"/>
  <c r="AM75" i="1" s="1"/>
  <c r="AN75" i="1" s="1"/>
  <c r="AQ75" i="1" s="1"/>
  <c r="W39" i="1"/>
  <c r="V39" i="1"/>
  <c r="U39" i="1"/>
  <c r="Y56" i="1"/>
  <c r="AG56" i="1" s="1"/>
  <c r="Y20" i="1"/>
  <c r="AG20" i="1" s="1"/>
  <c r="Y36" i="1"/>
  <c r="AG36" i="1" s="1"/>
  <c r="Y23" i="1"/>
  <c r="AG23" i="1" s="1"/>
  <c r="AH23" i="1" s="1"/>
  <c r="Y47" i="1"/>
  <c r="AG47" i="1" s="1"/>
  <c r="AK47" i="1" s="1"/>
  <c r="AM47" i="1" s="1"/>
  <c r="AN47" i="1" s="1"/>
  <c r="Y68" i="1"/>
  <c r="AG68" i="1" s="1"/>
  <c r="AH68" i="1" s="1"/>
  <c r="Y40" i="1"/>
  <c r="AG40" i="1" s="1"/>
  <c r="AH40" i="1" s="1"/>
  <c r="Y21" i="1"/>
  <c r="AG21" i="1" s="1"/>
  <c r="AH21" i="1" s="1"/>
  <c r="Y76" i="1"/>
  <c r="AG76" i="1" s="1"/>
  <c r="AK76" i="1" s="1"/>
  <c r="AM76" i="1" s="1"/>
  <c r="AN76" i="1" s="1"/>
  <c r="Y67" i="1"/>
  <c r="AG67" i="1" s="1"/>
  <c r="Y63" i="1"/>
  <c r="AG63" i="1" s="1"/>
  <c r="Y62" i="1"/>
  <c r="AG62" i="1" s="1"/>
  <c r="Y74" i="1"/>
  <c r="AG74" i="1" s="1"/>
  <c r="AK56" i="1"/>
  <c r="AM56" i="1" s="1"/>
  <c r="AN56" i="1" s="1"/>
  <c r="AH56" i="1"/>
  <c r="AK23" i="1"/>
  <c r="AM23" i="1" s="1"/>
  <c r="AN23" i="1" s="1"/>
  <c r="AH62" i="1"/>
  <c r="AK62" i="1"/>
  <c r="AM62" i="1" s="1"/>
  <c r="AN62" i="1" s="1"/>
  <c r="AH74" i="1"/>
  <c r="AK74" i="1"/>
  <c r="AM74" i="1" s="1"/>
  <c r="AN74" i="1" s="1"/>
  <c r="AH64" i="1"/>
  <c r="AK64" i="1"/>
  <c r="AM64" i="1" s="1"/>
  <c r="AN64" i="1" s="1"/>
  <c r="AH63" i="1"/>
  <c r="AK63" i="1"/>
  <c r="AM63" i="1" s="1"/>
  <c r="AN63" i="1" s="1"/>
  <c r="AK36" i="1"/>
  <c r="AM36" i="1" s="1"/>
  <c r="AN36" i="1" s="1"/>
  <c r="AH36" i="1"/>
  <c r="AH20" i="1"/>
  <c r="AK20" i="1"/>
  <c r="AM20" i="1" s="1"/>
  <c r="AN20" i="1" s="1"/>
  <c r="AK21" i="1"/>
  <c r="AM21" i="1" s="1"/>
  <c r="AN21" i="1" s="1"/>
  <c r="AK67" i="1"/>
  <c r="AM67" i="1" s="1"/>
  <c r="AN67" i="1" s="1"/>
  <c r="AH67" i="1"/>
  <c r="AK57" i="1"/>
  <c r="AM57" i="1" s="1"/>
  <c r="AN57" i="1" s="1"/>
  <c r="AH57" i="1"/>
  <c r="AO55" i="1"/>
  <c r="AQ55" i="1"/>
  <c r="AQ43" i="1"/>
  <c r="AO43" i="1"/>
  <c r="AO13" i="1"/>
  <c r="AQ13" i="1"/>
  <c r="U22" i="1"/>
  <c r="V22" i="1"/>
  <c r="W22" i="1"/>
  <c r="AQ59" i="1"/>
  <c r="AO59" i="1"/>
  <c r="AQ17" i="1"/>
  <c r="AO17" i="1"/>
  <c r="AQ42" i="1"/>
  <c r="AO42" i="1"/>
  <c r="AQ27" i="1"/>
  <c r="AO27" i="1"/>
  <c r="AQ25" i="1"/>
  <c r="AO25" i="1"/>
  <c r="AD22" i="1"/>
  <c r="X22" i="1"/>
  <c r="AQ14" i="1"/>
  <c r="AO14" i="1"/>
  <c r="AO48" i="1"/>
  <c r="AQ48" i="1"/>
  <c r="AQ29" i="1"/>
  <c r="AO29" i="1"/>
  <c r="AQ30" i="1"/>
  <c r="AO30" i="1"/>
  <c r="AQ46" i="1"/>
  <c r="AO46" i="1"/>
  <c r="AQ26" i="1"/>
  <c r="AO26" i="1"/>
  <c r="AO31" i="1"/>
  <c r="AQ31" i="1"/>
  <c r="AQ58" i="1"/>
  <c r="AO58" i="1"/>
  <c r="AQ18" i="1"/>
  <c r="AO50" i="1"/>
  <c r="AQ50" i="1"/>
  <c r="AO54" i="1"/>
  <c r="AQ54" i="1"/>
  <c r="AQ37" i="1"/>
  <c r="AO37" i="1"/>
  <c r="AQ73" i="1"/>
  <c r="AO73" i="1"/>
  <c r="AO38" i="1"/>
  <c r="AQ38" i="1"/>
  <c r="AK45" i="1"/>
  <c r="AM45" i="1" s="1"/>
  <c r="AN45" i="1" s="1"/>
  <c r="AH45" i="1"/>
  <c r="AH65" i="1"/>
  <c r="AK65" i="1"/>
  <c r="AM65" i="1" s="1"/>
  <c r="AN65" i="1" s="1"/>
  <c r="AQ41" i="1"/>
  <c r="AO41" i="1"/>
  <c r="AQ33" i="1"/>
  <c r="AO33" i="1"/>
  <c r="AO69" i="1"/>
  <c r="AQ69" i="1"/>
  <c r="AO34" i="1"/>
  <c r="AQ34" i="1"/>
  <c r="AQ71" i="1"/>
  <c r="AO71" i="1"/>
  <c r="AH61" i="1"/>
  <c r="AK61" i="1"/>
  <c r="AM61" i="1" s="1"/>
  <c r="AN61" i="1" s="1"/>
  <c r="AO32" i="1"/>
  <c r="AQ32" i="1"/>
  <c r="AQ66" i="1"/>
  <c r="AO66" i="1"/>
  <c r="AQ70" i="1"/>
  <c r="AO70" i="1"/>
  <c r="AQ16" i="1"/>
  <c r="AO16" i="1"/>
  <c r="AO53" i="1"/>
  <c r="AQ53" i="1"/>
  <c r="AO15" i="1"/>
  <c r="AQ15" i="1"/>
  <c r="AQ28" i="1"/>
  <c r="AO28" i="1"/>
  <c r="AO44" i="1"/>
  <c r="AQ44" i="1"/>
  <c r="AH72" i="1"/>
  <c r="AK72" i="1"/>
  <c r="AM72" i="1" s="1"/>
  <c r="AN72" i="1" s="1"/>
  <c r="AK40" i="1"/>
  <c r="AM40" i="1" s="1"/>
  <c r="AN40" i="1" s="1"/>
  <c r="AO11" i="1"/>
  <c r="AQ11" i="1"/>
  <c r="AK52" i="1"/>
  <c r="AM52" i="1" s="1"/>
  <c r="AN52" i="1" s="1"/>
  <c r="AH52" i="1"/>
  <c r="AH60" i="1"/>
  <c r="AK60" i="1"/>
  <c r="AM60" i="1" s="1"/>
  <c r="AN60" i="1" s="1"/>
  <c r="AQ51" i="1"/>
  <c r="AO51" i="1"/>
  <c r="AQ19" i="1"/>
  <c r="AO19" i="1"/>
  <c r="AQ35" i="1"/>
  <c r="AO35" i="1"/>
  <c r="AO49" i="1"/>
  <c r="AQ49" i="1"/>
  <c r="AQ24" i="1"/>
  <c r="AO24" i="1"/>
  <c r="AO75" i="1" l="1"/>
  <c r="AQ12" i="1"/>
  <c r="AH47" i="1"/>
  <c r="AK68" i="1"/>
  <c r="AM68" i="1" s="1"/>
  <c r="AN68" i="1" s="1"/>
  <c r="AO68" i="1" s="1"/>
  <c r="Y39" i="1"/>
  <c r="AG39" i="1" s="1"/>
  <c r="AH76" i="1"/>
  <c r="Y22" i="1"/>
  <c r="AG22" i="1" s="1"/>
  <c r="AH22" i="1" s="1"/>
  <c r="AK22" i="1"/>
  <c r="AM22" i="1" s="1"/>
  <c r="AN22" i="1" s="1"/>
  <c r="AQ47" i="1"/>
  <c r="AO47" i="1"/>
  <c r="AQ56" i="1"/>
  <c r="AO56" i="1"/>
  <c r="AO20" i="1"/>
  <c r="AQ20" i="1"/>
  <c r="AO64" i="1"/>
  <c r="AQ64" i="1"/>
  <c r="AQ45" i="1"/>
  <c r="AO45" i="1"/>
  <c r="AQ57" i="1"/>
  <c r="AO57" i="1"/>
  <c r="AO60" i="1"/>
  <c r="AQ60" i="1"/>
  <c r="AQ68" i="1"/>
  <c r="AO62" i="1"/>
  <c r="AQ62" i="1"/>
  <c r="AQ23" i="1"/>
  <c r="AO23" i="1"/>
  <c r="AQ52" i="1"/>
  <c r="AO52" i="1"/>
  <c r="AO40" i="1"/>
  <c r="AQ40" i="1"/>
  <c r="AO67" i="1"/>
  <c r="AQ67" i="1"/>
  <c r="AQ36" i="1"/>
  <c r="AO36" i="1"/>
  <c r="AQ76" i="1"/>
  <c r="AO76" i="1"/>
  <c r="AO72" i="1"/>
  <c r="AQ72" i="1"/>
  <c r="AO61" i="1"/>
  <c r="AQ61" i="1"/>
  <c r="AQ65" i="1"/>
  <c r="AO65" i="1"/>
  <c r="AO21" i="1"/>
  <c r="AQ21" i="1"/>
  <c r="AO63" i="1"/>
  <c r="AQ63" i="1"/>
  <c r="AQ74" i="1"/>
  <c r="AO74" i="1"/>
  <c r="AH39" i="1" l="1"/>
  <c r="AK39" i="1"/>
  <c r="AM39" i="1" s="1"/>
  <c r="AN39" i="1" s="1"/>
  <c r="AO22" i="1"/>
  <c r="AQ22" i="1"/>
  <c r="AO39" i="1" l="1"/>
  <c r="AO77" i="1" s="1"/>
  <c r="AQ39" i="1"/>
  <c r="AQ77" i="1" s="1"/>
  <c r="AQ78" i="1" l="1"/>
  <c r="AQ79" i="1"/>
  <c r="AO78" i="1"/>
  <c r="AP77" i="1"/>
  <c r="AQ80" i="1"/>
  <c r="AQ81" i="1" s="1"/>
  <c r="AP78" i="1"/>
  <c r="AR78" i="1"/>
  <c r="AO79" i="1"/>
  <c r="AP79" i="1" l="1"/>
  <c r="AQ82" i="1"/>
  <c r="AP80" i="1" l="1"/>
  <c r="AO81" i="1"/>
  <c r="AO82" i="1" l="1"/>
  <c r="AP81" i="1"/>
  <c r="AP82" i="1" l="1"/>
  <c r="L87" i="1"/>
</calcChain>
</file>

<file path=xl/sharedStrings.xml><?xml version="1.0" encoding="utf-8"?>
<sst xmlns="http://schemas.openxmlformats.org/spreadsheetml/2006/main" count="192" uniqueCount="124">
  <si>
    <t>% AUMENTO</t>
  </si>
  <si>
    <t xml:space="preserve">AUMENTO </t>
  </si>
  <si>
    <t xml:space="preserve">    </t>
  </si>
  <si>
    <t>EMPRESA: E.S.E. HOSPITAL UNIVERSITARIO SAN RAFAEL DE TUNJA</t>
  </si>
  <si>
    <t>Presupuesto general</t>
  </si>
  <si>
    <t>Aportes Empleador</t>
  </si>
  <si>
    <t>Prestaciones Empleador</t>
  </si>
  <si>
    <t>APORTES</t>
  </si>
  <si>
    <t>PRESTACIONES</t>
  </si>
  <si>
    <t>SUELDO BASICO 2025</t>
  </si>
  <si>
    <t>% DE AUMENTO</t>
  </si>
  <si>
    <t>INCREMENTO 2026</t>
  </si>
  <si>
    <t>SUELDO BASICO 2026</t>
  </si>
  <si>
    <t>CTRO COSTO</t>
  </si>
  <si>
    <t>N° CARGOS</t>
  </si>
  <si>
    <t>CARGO</t>
  </si>
  <si>
    <t>SUELDO BASICO</t>
  </si>
  <si>
    <t>DIAS</t>
  </si>
  <si>
    <t>INGRESO BASICO</t>
  </si>
  <si>
    <t>AUX. TTE</t>
  </si>
  <si>
    <t>RECARGO FIJO</t>
  </si>
  <si>
    <t>TIEMPO COMPLEMENTARIO</t>
  </si>
  <si>
    <t>DEVENGADO</t>
  </si>
  <si>
    <t xml:space="preserve">BONIFICACION </t>
  </si>
  <si>
    <t>PAGO QUE NO CONSTITUYE SALARIO</t>
  </si>
  <si>
    <t>DIAS SEG SOCIAL</t>
  </si>
  <si>
    <t>BASE PARA SEG SOCIAL</t>
  </si>
  <si>
    <t>SALUD 8,5%</t>
  </si>
  <si>
    <t>PENSION 12%</t>
  </si>
  <si>
    <t>ARL 2,436% - 4,350% Y 6,960%</t>
  </si>
  <si>
    <t>CAJA 4%</t>
  </si>
  <si>
    <t>CAJA SOBRE VAC 4%</t>
  </si>
  <si>
    <t>TOTAL APORTES</t>
  </si>
  <si>
    <t>VACACIONES</t>
  </si>
  <si>
    <t xml:space="preserve">PRIMA DE SERVICIOS </t>
  </si>
  <si>
    <t xml:space="preserve">CESANTIAS </t>
  </si>
  <si>
    <t xml:space="preserve">INT. SOBRE CESANTIAS </t>
  </si>
  <si>
    <t>TOTAL PRESTACIONES</t>
  </si>
  <si>
    <t>DOTACION</t>
  </si>
  <si>
    <t>OTROS SUMINISTROS</t>
  </si>
  <si>
    <t>SUBTOTAL</t>
  </si>
  <si>
    <t>VALOR POR NUMERO DE CARGOS</t>
  </si>
  <si>
    <t>ADMON 11%</t>
  </si>
  <si>
    <t>IVA 19%</t>
  </si>
  <si>
    <t>SUBTOTAL POR CARGO</t>
  </si>
  <si>
    <t>TOTAL MES POR NUMERO CARGOS</t>
  </si>
  <si>
    <t>TOTAL POR 5 MES</t>
  </si>
  <si>
    <t xml:space="preserve">ASISTENCIAL </t>
  </si>
  <si>
    <t>AUXILIAR ADMINISTRATIVO - ASISTENCIAL</t>
  </si>
  <si>
    <t>AUXILIAR DE ENFERMERIA</t>
  </si>
  <si>
    <t>AUXILIAR DE ENFERMERIA AMBULANCIA</t>
  </si>
  <si>
    <t>AUXILIAR DE ENFERMERIA RAYOS X</t>
  </si>
  <si>
    <t xml:space="preserve">AUXILIAR EN FARMACIA </t>
  </si>
  <si>
    <t>AUXILIAR DE LABORATORIO CLINICO</t>
  </si>
  <si>
    <t>BACTERIOLOGO</t>
  </si>
  <si>
    <t>BACTERIOLOGO ESPECIALISTA EN HEMATOLOGIA</t>
  </si>
  <si>
    <t>CONDUCTOR DE AMBULANCIA</t>
  </si>
  <si>
    <t xml:space="preserve">COORDINADOR PROGRAMA POR TU PIEL </t>
  </si>
  <si>
    <t xml:space="preserve">COORDINADOR DE ATENCIÓN CLINICA Y URGENCIAS </t>
  </si>
  <si>
    <t>COORDINADOR DE GESTION CLINICA Y SALA DE INFUSIONES</t>
  </si>
  <si>
    <t xml:space="preserve">COORDINADOR DE ATENCIÓN HOSPITALARIA </t>
  </si>
  <si>
    <t>COORDINADOR DE ENFERMERIA HOSPITALIZACION</t>
  </si>
  <si>
    <t>COORDINADOR DE ENFERMERIA GINECOLOGIA</t>
  </si>
  <si>
    <t>COORDINADOR DE ENFERMERIA SALAS DE CIRUGIA</t>
  </si>
  <si>
    <t>COORDINADOR DE ENFERMERIA URGENCIAS</t>
  </si>
  <si>
    <t xml:space="preserve">COORDINADOR MEDICO SALAS DE CIRUGIA </t>
  </si>
  <si>
    <t>COORDINADOR DE TERAPIA RESPIRATORIA</t>
  </si>
  <si>
    <t>COORDINADOR UCIA</t>
  </si>
  <si>
    <t>COORDINADOR UCIP</t>
  </si>
  <si>
    <t>DIRECTOR TECNICO DE CENTRAL DE ESTERILIZACION</t>
  </si>
  <si>
    <t>DIRECTOR TECNICO DE FARMACIA</t>
  </si>
  <si>
    <t>DIRECTOR TECNICO DE LABORATORIO</t>
  </si>
  <si>
    <t xml:space="preserve">ENFERMERA ESPECIALIZADA DE APOYO AL (SOGCS) </t>
  </si>
  <si>
    <t>ENFERMERA PROFESIONAL</t>
  </si>
  <si>
    <t>ENFERMERA PROFESIONAL ESPECIALISTA</t>
  </si>
  <si>
    <t>ENFERMERA PROFESIONAL GESTION ADMINISTRATIVA Y CLINICA</t>
  </si>
  <si>
    <t>ENFERMERA PROFESIONAL LÍDER DE RUTAS INTEGRALES</t>
  </si>
  <si>
    <t>ENFERMERA PROFESIONAL LÍDER DE SERVICIO</t>
  </si>
  <si>
    <t>ENFERMERA PROFESIONAL RADIOLOGIA</t>
  </si>
  <si>
    <t xml:space="preserve">PROFESIONAL DE SALUD SEGURIDAD DEL PACIENTE </t>
  </si>
  <si>
    <t>FONOAUDIOLOGO O TERAPEUTA DEL LENGUAJE</t>
  </si>
  <si>
    <t>INSTRUMENTADOR QUIRURGICO</t>
  </si>
  <si>
    <t xml:space="preserve">LIDER BACK OFFICE (MATERIAL DE OSTEOSINTESIS) </t>
  </si>
  <si>
    <t xml:space="preserve">LIDER DE GESTIÓN CLINICA Y PROGRAMAS DEL ALTA COMPLEJIDAD Y SEGUIMIENTO COMUNITARIO </t>
  </si>
  <si>
    <t>LIDER DE HUMANIZACION</t>
  </si>
  <si>
    <t>LIDER DE MICROBIOLOGIA</t>
  </si>
  <si>
    <t xml:space="preserve">LIDER DE PROGRAMACIÓN QUIRURGICA </t>
  </si>
  <si>
    <t>LÍDER DEL SERVICIO DE GESTIÓN PRE-TRANSFUSIONAL</t>
  </si>
  <si>
    <t>MEDICO GENERAL</t>
  </si>
  <si>
    <t>MEDICO GENERAL MT</t>
  </si>
  <si>
    <t>MICROBIOLOGO</t>
  </si>
  <si>
    <t>NUTRICIONISTA</t>
  </si>
  <si>
    <t xml:space="preserve">PSICOLOGO ÁREA CLINICA </t>
  </si>
  <si>
    <t>QUIMICO FARMACEUTICO ASISTENCIAL FARMACOVIGILANCIA Y TECNOVIGILANCIA</t>
  </si>
  <si>
    <t>QUIMICO FARMACEUTICO DE ASEGURAMIENTO DE CALIDAD</t>
  </si>
  <si>
    <t xml:space="preserve">QUIMICO FARMACEUTICO JEFE DE CONTROL DE CALIDAD DEL SISTEMA DE AIRE MEDICINAL </t>
  </si>
  <si>
    <t>QUIMICO FARMACEUTICO JEFE DE CONTROL DE CALIDAD DE LA CENTRAL DE ADECUACION Y PREPARACION DE MEDICAMENTOS (CAPM)</t>
  </si>
  <si>
    <t>QUIMICO FARMACEUTICO PREPARADOR DE LA CENTRL DE ADECUACION Y PREPARACION DE MEDICAMENTOS (CAPM)</t>
  </si>
  <si>
    <t>QUIMICO FARMACEUTICO JEFE DE PRODUCCION DE LA CENTRAL DE ADECUACION Y PREPARACION DE MEDICAMENTOS (CAPM)</t>
  </si>
  <si>
    <t xml:space="preserve">LIDER DEL PROGRAMA DE OPTIMIZACION DE ANTIMICROBIANOS </t>
  </si>
  <si>
    <t>QUIMICO DE SEGUIMIENTO FARMACOTERAPÉUTICO Y   DE CONCILIACION MEDICAMENTOSA</t>
  </si>
  <si>
    <t>LÍDER DE SEGUIMIENTO FARMACOTERAPÉUTICO Y CONCILIACIÓN MEDICAMENTOSA</t>
  </si>
  <si>
    <t>REFERENTE PSICÓLOGA CLÍNICA</t>
  </si>
  <si>
    <t>REGENTE EN FARMACIA</t>
  </si>
  <si>
    <t>REGENTE LIDER EN FARMACIA</t>
  </si>
  <si>
    <t>TECNICO APOYO ASISTENCIAL</t>
  </si>
  <si>
    <t>TECNOLOGO DE RAYOS X</t>
  </si>
  <si>
    <t>TECNOLOGO LIDER DE FARMACIAS</t>
  </si>
  <si>
    <t>TERAPEUTA FISICA</t>
  </si>
  <si>
    <t>TERAPEUTA FISICA MT</t>
  </si>
  <si>
    <t>TERAPEUTA FISICO ESPECIALISTA EN REHABILITACION PULMONAR</t>
  </si>
  <si>
    <t>TERAPEUTA OCUPACIONAL</t>
  </si>
  <si>
    <t>TERAPEUTA RESPIRATORIA</t>
  </si>
  <si>
    <t>TERAPEUTA RESPIRATORIA ESPECIALISTA EN REHABILITACION PULMONAR</t>
  </si>
  <si>
    <t>NOVEDADES 27,3%</t>
  </si>
  <si>
    <t>CINCUENTA MIL OCHOCIENTOS DIEZ MILLONES OCHOCIENTOS SETENTA Y CUATRO MIL QUINIENTOS SEIS PESOS  M/CTE ($ 50.810.874.506 )</t>
  </si>
  <si>
    <t xml:space="preserve">TOTAL </t>
  </si>
  <si>
    <t>ADMINISTRACION:11%</t>
  </si>
  <si>
    <t xml:space="preserve">ADMINISTRACION </t>
  </si>
  <si>
    <t>RESPONSABLE DE IVA</t>
  </si>
  <si>
    <t>IVA</t>
  </si>
  <si>
    <t>177 HORAS</t>
  </si>
  <si>
    <t>174 HORAS</t>
  </si>
  <si>
    <t>DIF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</si>
</sst>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_ * #,##0_ ;_ * \-#,##0_ ;_ * &quot;-&quot;??_ ;_ @_ "/>
    <numFmt numFmtId="167" formatCode="0.0%"/>
    <numFmt numFmtId="168" formatCode="_-&quot;$&quot;\ * #,##0_-;\-&quot;$&quot;\ * #,##0_-;_-&quot;$&quot;\ * &quot;-&quot;??_-;_-@_-"/>
    <numFmt numFmtId="169" formatCode="&quot;$&quot;#,##0"/>
    <numFmt numFmtId="170" formatCode="[$$-2C0A]#,##0;[Red][$$-2C0A]#,##0"/>
    <numFmt numFmtId="171" formatCode="&quot;$&quot;\ #,##0;[Red]&quot;$&quot;\ \-#,##0"/>
    <numFmt numFmtId="172" formatCode="_(&quot;$&quot;* #,##0_);_(&quot;$&quot;* \(#,##0\);_(&quot;$&quot;* &quot;-&quot;??_);_(@_)"/>
    <numFmt numFmtId="173" formatCode="[$$-2C0A]#,##0.0;[Red][$$-2C0A]#,##0.0"/>
    <numFmt numFmtId="174" formatCode="_-* #,##0_-;\-* #,##0_-;_-* &quot;-&quot;??_-;_-@_-"/>
    <numFmt numFmtId="175" formatCode="[$$-2C0A]\ #,##0;[Red][$$-2C0A]\ #,##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name val="Tahoma"/>
      <family val="2"/>
    </font>
    <font>
      <sz val="9"/>
      <name val="Tahoma"/>
      <family val="2"/>
    </font>
    <font>
      <b/>
      <i/>
      <sz val="9"/>
      <name val="Tahoma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>
      <alignment vertical="top"/>
    </xf>
    <xf numFmtId="0" fontId="2" fillId="0" borderId="0">
      <alignment vertical="top"/>
    </xf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82">
    <xf numFmtId="0" fontId="0" fillId="0" borderId="0" xfId="0"/>
    <xf numFmtId="3" fontId="3" fillId="0" borderId="1" xfId="4" applyNumberFormat="1" applyFont="1" applyBorder="1" applyAlignment="1">
      <alignment horizontal="center" vertical="center" wrapText="1"/>
    </xf>
    <xf numFmtId="164" fontId="3" fillId="0" borderId="1" xfId="5" applyNumberFormat="1" applyFont="1" applyBorder="1" applyAlignment="1">
      <alignment horizontal="center" vertical="center" wrapText="1"/>
    </xf>
    <xf numFmtId="164" fontId="3" fillId="0" borderId="1" xfId="4" applyNumberFormat="1" applyFont="1" applyBorder="1" applyAlignment="1">
      <alignment horizontal="center" vertical="center" wrapText="1"/>
    </xf>
    <xf numFmtId="3" fontId="3" fillId="0" borderId="0" xfId="4" applyNumberFormat="1" applyFont="1" applyAlignment="1">
      <alignment horizontal="center" vertical="center" wrapText="1"/>
    </xf>
    <xf numFmtId="0" fontId="4" fillId="0" borderId="0" xfId="5" applyFont="1" applyAlignment="1">
      <alignment horizontal="center" vertical="center"/>
    </xf>
    <xf numFmtId="166" fontId="5" fillId="0" borderId="0" xfId="6" applyNumberFormat="1" applyFont="1" applyFill="1" applyAlignment="1">
      <alignment horizontal="right"/>
    </xf>
    <xf numFmtId="167" fontId="5" fillId="0" borderId="0" xfId="7" applyNumberFormat="1" applyFont="1" applyFill="1" applyAlignment="1">
      <alignment horizontal="right"/>
    </xf>
    <xf numFmtId="166" fontId="5" fillId="0" borderId="0" xfId="6" applyNumberFormat="1" applyFont="1" applyFill="1" applyAlignment="1">
      <alignment horizontal="centerContinuous" vertical="center"/>
    </xf>
    <xf numFmtId="0" fontId="4" fillId="0" borderId="0" xfId="5" applyFont="1" applyAlignment="1">
      <alignment vertical="center"/>
    </xf>
    <xf numFmtId="0" fontId="3" fillId="0" borderId="0" xfId="5" applyFont="1" applyAlignment="1">
      <alignment horizontal="centerContinuous" vertical="center"/>
    </xf>
    <xf numFmtId="3" fontId="3" fillId="0" borderId="0" xfId="5" applyNumberFormat="1" applyFont="1" applyAlignment="1">
      <alignment horizontal="center" vertical="center"/>
    </xf>
    <xf numFmtId="0" fontId="4" fillId="0" borderId="0" xfId="5" applyFont="1" applyAlignment="1">
      <alignment horizontal="centerContinuous" vertical="center"/>
    </xf>
    <xf numFmtId="3" fontId="4" fillId="0" borderId="0" xfId="5" applyNumberFormat="1" applyFont="1" applyAlignment="1">
      <alignment vertical="center"/>
    </xf>
    <xf numFmtId="43" fontId="4" fillId="0" borderId="0" xfId="1" applyFont="1" applyFill="1" applyAlignment="1">
      <alignment vertical="center"/>
    </xf>
    <xf numFmtId="168" fontId="4" fillId="0" borderId="0" xfId="2" applyNumberFormat="1" applyFont="1" applyFill="1" applyAlignment="1">
      <alignment vertical="center"/>
    </xf>
    <xf numFmtId="169" fontId="4" fillId="0" borderId="1" xfId="4" applyNumberFormat="1" applyFont="1" applyBorder="1" applyAlignment="1">
      <alignment horizontal="right" vertical="center" wrapText="1"/>
    </xf>
    <xf numFmtId="10" fontId="4" fillId="0" borderId="1" xfId="3" applyNumberFormat="1" applyFont="1" applyFill="1" applyBorder="1" applyAlignment="1">
      <alignment vertical="center"/>
    </xf>
    <xf numFmtId="169" fontId="4" fillId="0" borderId="0" xfId="4" applyNumberFormat="1" applyFont="1" applyAlignment="1">
      <alignment horizontal="right" vertical="center" wrapText="1"/>
    </xf>
    <xf numFmtId="166" fontId="3" fillId="0" borderId="0" xfId="6" applyNumberFormat="1" applyFont="1" applyFill="1" applyAlignment="1">
      <alignment horizontal="centerContinuous" vertical="center"/>
    </xf>
    <xf numFmtId="3" fontId="3" fillId="0" borderId="0" xfId="5" applyNumberFormat="1" applyFont="1" applyAlignment="1">
      <alignment horizontal="centerContinuous" vertical="center"/>
    </xf>
    <xf numFmtId="166" fontId="3" fillId="0" borderId="0" xfId="6" applyNumberFormat="1" applyFont="1" applyFill="1" applyAlignment="1">
      <alignment horizontal="left" vertical="center"/>
    </xf>
    <xf numFmtId="164" fontId="3" fillId="0" borderId="0" xfId="6" applyNumberFormat="1" applyFont="1" applyFill="1" applyAlignment="1">
      <alignment horizontal="centerContinuous" vertical="center"/>
    </xf>
    <xf numFmtId="170" fontId="4" fillId="0" borderId="0" xfId="5" applyNumberFormat="1" applyFont="1" applyAlignment="1">
      <alignment horizontal="centerContinuous" vertical="center"/>
    </xf>
    <xf numFmtId="0" fontId="3" fillId="0" borderId="0" xfId="5" applyFont="1" applyAlignment="1">
      <alignment horizontal="left" vertical="center"/>
    </xf>
    <xf numFmtId="0" fontId="4" fillId="0" borderId="0" xfId="0" applyFont="1" applyAlignment="1">
      <alignment vertical="top"/>
    </xf>
    <xf numFmtId="167" fontId="4" fillId="0" borderId="0" xfId="0" applyNumberFormat="1" applyFont="1" applyAlignment="1">
      <alignment vertical="top"/>
    </xf>
    <xf numFmtId="164" fontId="3" fillId="0" borderId="0" xfId="6" applyNumberFormat="1" applyFont="1" applyFill="1" applyAlignment="1">
      <alignment horizontal="left" vertical="center"/>
    </xf>
    <xf numFmtId="0" fontId="3" fillId="0" borderId="0" xfId="5" applyFont="1" applyAlignment="1">
      <alignment vertical="center"/>
    </xf>
    <xf numFmtId="3" fontId="3" fillId="0" borderId="0" xfId="5" applyNumberFormat="1" applyFont="1" applyAlignment="1">
      <alignment vertical="center"/>
    </xf>
    <xf numFmtId="43" fontId="3" fillId="0" borderId="0" xfId="1" applyFont="1" applyFill="1" applyAlignment="1">
      <alignment horizontal="left" vertical="center"/>
    </xf>
    <xf numFmtId="171" fontId="4" fillId="0" borderId="0" xfId="5" applyNumberFormat="1" applyFont="1" applyAlignment="1">
      <alignment vertical="center"/>
    </xf>
    <xf numFmtId="166" fontId="4" fillId="0" borderId="0" xfId="6" applyNumberFormat="1" applyFont="1" applyFill="1" applyAlignment="1">
      <alignment horizontal="center" vertical="center"/>
    </xf>
    <xf numFmtId="164" fontId="4" fillId="0" borderId="0" xfId="5" applyNumberFormat="1" applyFont="1" applyAlignment="1">
      <alignment vertical="center"/>
    </xf>
    <xf numFmtId="166" fontId="4" fillId="0" borderId="0" xfId="5" applyNumberFormat="1" applyFont="1" applyAlignment="1">
      <alignment vertical="center"/>
    </xf>
    <xf numFmtId="169" fontId="4" fillId="0" borderId="0" xfId="5" applyNumberFormat="1" applyFont="1" applyAlignment="1">
      <alignment vertical="center"/>
    </xf>
    <xf numFmtId="0" fontId="3" fillId="0" borderId="1" xfId="5" applyFont="1" applyBorder="1" applyAlignment="1">
      <alignment horizontal="center" vertical="center" wrapText="1"/>
    </xf>
    <xf numFmtId="166" fontId="3" fillId="0" borderId="1" xfId="6" applyNumberFormat="1" applyFont="1" applyFill="1" applyBorder="1" applyAlignment="1">
      <alignment horizontal="center" vertical="center" wrapText="1"/>
    </xf>
    <xf numFmtId="3" fontId="3" fillId="0" borderId="1" xfId="5" applyNumberFormat="1" applyFont="1" applyBorder="1" applyAlignment="1">
      <alignment horizontal="center" vertical="center" wrapText="1"/>
    </xf>
    <xf numFmtId="43" fontId="3" fillId="0" borderId="1" xfId="1" applyFont="1" applyFill="1" applyBorder="1" applyAlignment="1">
      <alignment horizontal="center" vertical="center" wrapText="1"/>
    </xf>
    <xf numFmtId="168" fontId="4" fillId="0" borderId="1" xfId="2" applyNumberFormat="1" applyFont="1" applyFill="1" applyBorder="1" applyAlignment="1">
      <alignment vertical="center"/>
    </xf>
    <xf numFmtId="167" fontId="4" fillId="0" borderId="1" xfId="3" applyNumberFormat="1" applyFont="1" applyFill="1" applyBorder="1" applyAlignment="1">
      <alignment vertical="center"/>
    </xf>
    <xf numFmtId="172" fontId="4" fillId="0" borderId="1" xfId="5" applyNumberFormat="1" applyFont="1" applyBorder="1" applyAlignment="1">
      <alignment vertical="center"/>
    </xf>
    <xf numFmtId="0" fontId="4" fillId="0" borderId="1" xfId="5" applyFont="1" applyBorder="1" applyAlignment="1">
      <alignment horizontal="center" vertical="center"/>
    </xf>
    <xf numFmtId="0" fontId="4" fillId="0" borderId="1" xfId="5" applyFont="1" applyBorder="1" applyAlignment="1">
      <alignment vertical="center"/>
    </xf>
    <xf numFmtId="0" fontId="4" fillId="0" borderId="1" xfId="5" applyFont="1" applyBorder="1" applyAlignment="1">
      <alignment horizontal="right" vertical="center" wrapText="1"/>
    </xf>
    <xf numFmtId="169" fontId="4" fillId="0" borderId="1" xfId="5" applyNumberFormat="1" applyFont="1" applyBorder="1" applyAlignment="1">
      <alignment horizontal="right" vertical="center" wrapText="1"/>
    </xf>
    <xf numFmtId="171" fontId="4" fillId="0" borderId="1" xfId="5" applyNumberFormat="1" applyFont="1" applyBorder="1" applyAlignment="1">
      <alignment horizontal="right" vertical="center"/>
    </xf>
    <xf numFmtId="3" fontId="4" fillId="0" borderId="1" xfId="5" applyNumberFormat="1" applyFont="1" applyBorder="1" applyAlignment="1">
      <alignment horizontal="right" vertical="center" wrapText="1"/>
    </xf>
    <xf numFmtId="170" fontId="4" fillId="0" borderId="1" xfId="5" applyNumberFormat="1" applyFont="1" applyBorder="1" applyAlignment="1">
      <alignment horizontal="right" vertical="center"/>
    </xf>
    <xf numFmtId="169" fontId="4" fillId="0" borderId="1" xfId="5" applyNumberFormat="1" applyFont="1" applyBorder="1" applyAlignment="1">
      <alignment horizontal="right" vertical="center"/>
    </xf>
    <xf numFmtId="170" fontId="4" fillId="0" borderId="1" xfId="5" applyNumberFormat="1" applyFont="1" applyBorder="1" applyAlignment="1">
      <alignment vertical="center"/>
    </xf>
    <xf numFmtId="173" fontId="4" fillId="0" borderId="1" xfId="5" applyNumberFormat="1" applyFont="1" applyBorder="1" applyAlignment="1">
      <alignment vertical="center"/>
    </xf>
    <xf numFmtId="169" fontId="4" fillId="0" borderId="1" xfId="5" applyNumberFormat="1" applyFont="1" applyBorder="1" applyAlignment="1">
      <alignment vertical="center"/>
    </xf>
    <xf numFmtId="174" fontId="4" fillId="0" borderId="1" xfId="1" applyNumberFormat="1" applyFont="1" applyFill="1" applyBorder="1" applyAlignment="1">
      <alignment horizontal="right" vertical="center"/>
    </xf>
    <xf numFmtId="168" fontId="4" fillId="0" borderId="0" xfId="5" applyNumberFormat="1" applyFont="1" applyAlignment="1">
      <alignment vertical="center"/>
    </xf>
    <xf numFmtId="172" fontId="4" fillId="0" borderId="1" xfId="2" applyNumberFormat="1" applyFont="1" applyFill="1" applyBorder="1" applyAlignment="1" applyProtection="1">
      <alignment horizontal="right" vertical="center"/>
    </xf>
    <xf numFmtId="0" fontId="4" fillId="0" borderId="1" xfId="5" applyFont="1" applyBorder="1" applyAlignment="1">
      <alignment vertical="center" wrapText="1"/>
    </xf>
    <xf numFmtId="169" fontId="4" fillId="0" borderId="2" xfId="5" applyNumberFormat="1" applyFont="1" applyBorder="1" applyAlignment="1">
      <alignment horizontal="right" vertical="center"/>
    </xf>
    <xf numFmtId="0" fontId="3" fillId="0" borderId="1" xfId="5" applyFont="1" applyBorder="1" applyAlignment="1">
      <alignment horizontal="center" vertical="center"/>
    </xf>
    <xf numFmtId="164" fontId="4" fillId="0" borderId="0" xfId="5" applyNumberFormat="1" applyFont="1" applyAlignment="1">
      <alignment horizontal="right" vertical="center" wrapText="1"/>
    </xf>
    <xf numFmtId="175" fontId="4" fillId="0" borderId="0" xfId="5" applyNumberFormat="1" applyFont="1" applyAlignment="1">
      <alignment vertical="center"/>
    </xf>
    <xf numFmtId="174" fontId="4" fillId="0" borderId="1" xfId="1" applyNumberFormat="1" applyFont="1" applyFill="1" applyBorder="1" applyAlignment="1">
      <alignment vertical="center"/>
    </xf>
    <xf numFmtId="172" fontId="4" fillId="0" borderId="0" xfId="5" applyNumberFormat="1" applyFont="1" applyAlignment="1">
      <alignment vertical="center"/>
    </xf>
    <xf numFmtId="174" fontId="4" fillId="0" borderId="0" xfId="5" applyNumberFormat="1" applyFont="1" applyAlignment="1">
      <alignment vertical="center"/>
    </xf>
    <xf numFmtId="0" fontId="3" fillId="0" borderId="0" xfId="5" applyFont="1" applyAlignment="1">
      <alignment horizontal="left" wrapText="1"/>
    </xf>
    <xf numFmtId="9" fontId="4" fillId="0" borderId="0" xfId="3" applyFont="1" applyFill="1" applyAlignment="1">
      <alignment vertical="center"/>
    </xf>
    <xf numFmtId="0" fontId="3" fillId="0" borderId="0" xfId="5" applyFont="1" applyAlignment="1">
      <alignment vertical="center" wrapText="1"/>
    </xf>
    <xf numFmtId="175" fontId="3" fillId="0" borderId="0" xfId="5" applyNumberFormat="1" applyFont="1" applyAlignment="1">
      <alignment vertical="center"/>
    </xf>
    <xf numFmtId="174" fontId="3" fillId="0" borderId="1" xfId="1" applyNumberFormat="1" applyFont="1" applyFill="1" applyBorder="1" applyAlignment="1">
      <alignment vertical="center"/>
    </xf>
    <xf numFmtId="174" fontId="4" fillId="0" borderId="0" xfId="0" applyNumberFormat="1" applyFont="1"/>
    <xf numFmtId="168" fontId="3" fillId="0" borderId="0" xfId="2" applyNumberFormat="1" applyFont="1" applyFill="1" applyAlignment="1">
      <alignment vertical="center"/>
    </xf>
    <xf numFmtId="174" fontId="3" fillId="0" borderId="0" xfId="1" applyNumberFormat="1" applyFont="1" applyFill="1" applyBorder="1" applyAlignment="1">
      <alignment vertical="center"/>
    </xf>
    <xf numFmtId="168" fontId="4" fillId="0" borderId="0" xfId="2" applyNumberFormat="1" applyFont="1" applyFill="1" applyBorder="1" applyAlignment="1">
      <alignment vertical="center"/>
    </xf>
    <xf numFmtId="174" fontId="4" fillId="0" borderId="0" xfId="1" applyNumberFormat="1" applyFont="1" applyFill="1" applyAlignment="1">
      <alignment vertical="center"/>
    </xf>
    <xf numFmtId="167" fontId="4" fillId="0" borderId="0" xfId="3" applyNumberFormat="1" applyFont="1" applyFill="1" applyBorder="1" applyAlignment="1">
      <alignment vertical="center"/>
    </xf>
    <xf numFmtId="9" fontId="4" fillId="0" borderId="0" xfId="5" applyNumberFormat="1" applyFont="1" applyAlignment="1">
      <alignment vertical="center"/>
    </xf>
    <xf numFmtId="43" fontId="4" fillId="0" borderId="0" xfId="1" applyFont="1" applyFill="1" applyBorder="1" applyAlignment="1">
      <alignment vertical="center"/>
    </xf>
    <xf numFmtId="175" fontId="3" fillId="0" borderId="1" xfId="5" applyNumberFormat="1" applyFont="1" applyBorder="1" applyAlignment="1">
      <alignment horizontal="center" vertical="center"/>
    </xf>
    <xf numFmtId="175" fontId="4" fillId="0" borderId="1" xfId="5" applyNumberFormat="1" applyFont="1" applyBorder="1" applyAlignment="1">
      <alignment horizontal="center" vertical="center" wrapText="1"/>
    </xf>
    <xf numFmtId="175" fontId="4" fillId="0" borderId="1" xfId="5" applyNumberFormat="1" applyFont="1" applyBorder="1" applyAlignment="1">
      <alignment horizontal="center" vertical="center"/>
    </xf>
    <xf numFmtId="0" fontId="3" fillId="0" borderId="0" xfId="5" applyFont="1" applyAlignment="1">
      <alignment horizontal="left"/>
    </xf>
  </cellXfs>
  <cellStyles count="8">
    <cellStyle name="Millares" xfId="1" builtinId="3"/>
    <cellStyle name="Millares 25 7" xfId="6" xr:uid="{60FC000F-9C36-4599-A5D6-451FACCFD22C}"/>
    <cellStyle name="Moneda" xfId="2" builtinId="4"/>
    <cellStyle name="Normal" xfId="0" builtinId="0"/>
    <cellStyle name="Normal 103" xfId="5" xr:uid="{225A9FB2-94F3-4FA0-90A2-4F3B4E0E231E}"/>
    <cellStyle name="Normal 2 12" xfId="4" xr:uid="{C2EF7206-7F94-40A6-AA04-F29A8153F53A}"/>
    <cellStyle name="Porcentaje" xfId="3" builtinId="5"/>
    <cellStyle name="Porcentaje 2" xfId="7" xr:uid="{F45ED45F-4DF9-4150-A1B9-704101B534E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styles" Target="styles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li\c\CELLSTAR\A%20PAGAR\A%20PAGAR%201Q%20NOV%202003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ina\sistema%20(c)\NOMINAS%20GINNA\A%20NOMINAS%20YINA\LABORAMOS\2007\N%202007\FLORES%20LA%20UNION\NOMINA\WINDOWS\TEMP\CELLSTAR\A%20PAGAR\A%20PAGAR%201Q%20NOV%202003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NOMINA%20COPREVISION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A1%20NOMINA/A%202020/A%20NOMINA/ESE%20HOSP%20SOGAMOSO/L%20DICIEMBRE/PROYECCION%20DICIEMBRE/ADM/H%20HRS%20AGOS%202020%20FAC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ina\sistema%20(c)\NOMINAS%20GINNA\A%20NOMINAS%20YINA\LABORAMOS\2007\N%202007\FLORES%20LA%20UNION\NOMINA\KFLAUNION2QOCT070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Noviembre\EnfermeriaNov2012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ina\sistema%20(c)\a%20depto%20nomina\LABORAMOS\2007\FLORES%20LA%20UNION\NOVEDADES\D%20EXTRASUNION%20DEF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ina\sistema%20(c)\NOMINAS%20GINNA\A%20NOMINAS%20YINA\LABORAMOS\2008\FLORES%20LA%20UNION\novedades\EXTRAS_UNION%201QFEB08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265.9%20RELACI&#211;N%20TURNOS%20PERSONAL%20DEL%20LABORATORIO/265.9.1%20Relaci&#243;n%20Turnos%20Bacteriolog&#237;a%20y%20Auxiliares/2020/TURNOS%20BACT%20NOV%20%202020.xlsm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osita\ROSITA\eudora\attach\NOMINA%20COMPLETA%20JUNIO%201-15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ina\sistema%20(c)\NOMINAS%20GINNA\A%20NOMINAS%20YINA\LABORAMOS\2007\N%202007\FLORES%20LA%20UNION\NOMINA\WINDOWS\TEMP\eudora\attach\NOMINA%20COMPLETA%20JUNIO%201-15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INFORMACION%20PERSONAL%20DE%20TRABAJADORES%20EN%20MISION%20AGOSTO%2001%20DE%202017%20(2)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romero\NOMINA%20OPERATIVA\MAYO%2031%202001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UARIO\AppData\Local\Temp\Copia%20de%20MantenimientoMar2013.xlsm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ipma/Google%20Drive/Laboramos/HSRT/NOMINAS/2016/09Septiembre/Turnos/Entregados/30ArchivoSep2016.xlsm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/A1%20NOMINA/G%202021/SEGURIDAD%20SOCIAL/PLANILLA%20DE%20PAGO/10%20HUSRT/A%20SS%2010%20HUSRT%20ENE%20FEB21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/ANOMINA/A%20LABORAMOS/H%202020/SEGURIDAD%20SOCIAL/A%20PLANILLAS%20PAGO/Z%20B%20%20SEG%20AGOS%20SEP%202020/H%20HRS%20AGO%20SEP%2020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/A%20LABORAMOS/R%202010/A%20NOMINAS/COMFABOY%20CR/eudora/attach/NOMINA%20COMPLETA%20JUNIO%201-15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osita\ROSITA\eudora\attach\Personal\Temporales\Nomina-CELLSTAR-DEFINITIVO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ina\sistema%20(c)\NOMINAS%20GINNA\A%20NOMINAS%20YINA\LABORAMOS\2007\N%202007\FLORES%20LA%20UNION\NOMINA\WINDOWS\TEMP\eudora\attach\Personal\Temporales\Nomina-CELLSTAR-DEFINITIV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MINA"/>
      <sheetName val="COMPROBANTES 16-210"/>
      <sheetName val="ESPECIALES 1 AL 15"/>
      <sheetName val="INCAP"/>
      <sheetName val="COMP. INCAPACIDADES"/>
      <sheetName val="RETEFUENTE"/>
      <sheetName val="NOTAS"/>
      <sheetName val="RET 2Q OCT"/>
      <sheetName val="LISTAS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MINA"/>
    </sheetNames>
    <sheetDataSet>
      <sheetData sheetId="0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Q OCT 02"/>
      <sheetName val="COMP 1Q OCT 02"/>
      <sheetName val="2Q OCT 02"/>
      <sheetName val="1Q NOV 02"/>
      <sheetName val="COMP 1Q NOV 02"/>
      <sheetName val="2Q NOV 02"/>
      <sheetName val="COMP 2Q NOV 02"/>
      <sheetName val="1 Q DIC 02  "/>
      <sheetName val="COMP 1 Q DIC 02  "/>
      <sheetName val="2 Q DIC 02"/>
      <sheetName val="COMP 2 Q DIC 02"/>
      <sheetName val="1 Q ENE 02"/>
      <sheetName val="COMP 1 Q ENE 02"/>
      <sheetName val="DESC. PROSPERAR"/>
      <sheetName val="2 Q ENE 03"/>
      <sheetName val="COMP 2 Q ENE 03"/>
      <sheetName val="1 Q FEB 03 "/>
      <sheetName val="COMP 1 Q FEB 03"/>
      <sheetName val="2 Q FEB 03 "/>
      <sheetName val="COMP 2 Q FEB 03"/>
      <sheetName val="1 Q MAR 03 "/>
      <sheetName val="COMP 1 Q MAR 03  "/>
      <sheetName val="2 Q MAR 03"/>
      <sheetName val="2 Q MAR NVO PERSO"/>
      <sheetName val=" CONTAB. 2 Q MAR NVO PERSO"/>
      <sheetName val="1 Q ABRIL NVO PERSO"/>
      <sheetName val="ARBIL 16-30"/>
      <sheetName val="COMP ABRIL 16-30"/>
      <sheetName val="MAYO 1-15"/>
      <sheetName val="INCAPACIDADES MAYO 1-15"/>
      <sheetName val="COMP MAYO 1-15"/>
      <sheetName val="MAYO 16-30"/>
      <sheetName val="INCAP. MAYO 16-30"/>
      <sheetName val="COMP MAYO 16-30"/>
      <sheetName val="JUNIO 1-15"/>
      <sheetName val="INCAP. JUNIO 1-15"/>
      <sheetName val="COMP JUNIO 1-15"/>
      <sheetName val="JUNIO 16-30"/>
      <sheetName val="INCAP. JUNIO 16-30"/>
      <sheetName val="COMP JUNIO 16-30"/>
      <sheetName val="JULIO 1-15 "/>
      <sheetName val="INCAP. JULIO 1-15"/>
      <sheetName val="COMP JULIO 1-15"/>
      <sheetName val="JULIO 16-30"/>
      <sheetName val="INCAP. JULIO 16-30"/>
      <sheetName val="COMP JULIO 16-30"/>
      <sheetName val="AGOSTO 1-15"/>
      <sheetName val="COMP AGOSTO 1-15"/>
      <sheetName val="AGOSTO 16-30 "/>
      <sheetName val="COMP AGOSTO 16-30"/>
      <sheetName val="LIST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S"/>
      <sheetName val="PRESUPUESTO"/>
      <sheetName val="NOMINA"/>
      <sheetName val="RECARGOS"/>
      <sheetName val="LIQ CDIAS"/>
      <sheetName val="LIQ SDIAS"/>
      <sheetName val="IBCMAR20"/>
      <sheetName val="Art. 383"/>
      <sheetName val="VACACIONES"/>
      <sheetName val="COMP"/>
      <sheetName val="DatosPruebaEmp"/>
      <sheetName val="LMP"/>
      <sheetName val="FSP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F SALU Y ARP"/>
      <sheetName val="NOMINA"/>
      <sheetName val="ANEXO"/>
      <sheetName val="DIF SALU Y ARP (2)"/>
      <sheetName val="FACTURA"/>
      <sheetName val="CANT_"/>
      <sheetName val="CANT_ (2)"/>
      <sheetName val="comp"/>
      <sheetName val="LIQ"/>
      <sheetName val="LIQ 2007 (2)"/>
      <sheetName val="RET CES"/>
      <sheetName val="LIQ 200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XTO NORTE"/>
      <sheetName val="SEXTO SUR"/>
      <sheetName val="QUINTO SUR"/>
      <sheetName val="UCIA"/>
      <sheetName val="PED"/>
      <sheetName val="ORTOPEDIA"/>
      <sheetName val="URN"/>
      <sheetName val="GINECOLOGIA"/>
      <sheetName val="URGENCIAS"/>
      <sheetName val="SOPORTE NUTICIONAL"/>
      <sheetName val="7 SUR"/>
      <sheetName val="UCIP"/>
      <sheetName val="SALAS"/>
      <sheetName val="Personas"/>
      <sheetName val="RefTurnos"/>
      <sheetName val="Period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1">
          <cell r="B1" t="str">
            <v>documento</v>
          </cell>
        </row>
        <row r="2">
          <cell r="B2">
            <v>4192795</v>
          </cell>
        </row>
        <row r="3">
          <cell r="B3">
            <v>6755207</v>
          </cell>
        </row>
        <row r="4">
          <cell r="B4">
            <v>6776766</v>
          </cell>
        </row>
        <row r="5">
          <cell r="B5">
            <v>7172849</v>
          </cell>
        </row>
        <row r="6">
          <cell r="B6">
            <v>7188576</v>
          </cell>
        </row>
        <row r="7">
          <cell r="B7">
            <v>9531022</v>
          </cell>
        </row>
        <row r="8">
          <cell r="B8">
            <v>23681886</v>
          </cell>
        </row>
        <row r="9">
          <cell r="B9">
            <v>23690888</v>
          </cell>
        </row>
        <row r="10">
          <cell r="B10">
            <v>23966733</v>
          </cell>
        </row>
        <row r="11">
          <cell r="B11">
            <v>30577725</v>
          </cell>
        </row>
        <row r="12">
          <cell r="B12">
            <v>32835900</v>
          </cell>
        </row>
        <row r="13">
          <cell r="B13">
            <v>33366894</v>
          </cell>
        </row>
        <row r="14">
          <cell r="B14">
            <v>33367370</v>
          </cell>
        </row>
        <row r="15">
          <cell r="B15">
            <v>33375274</v>
          </cell>
        </row>
        <row r="16">
          <cell r="B16">
            <v>33377874</v>
          </cell>
        </row>
        <row r="17">
          <cell r="B17">
            <v>33379541</v>
          </cell>
        </row>
        <row r="18">
          <cell r="B18">
            <v>37894934</v>
          </cell>
        </row>
        <row r="19">
          <cell r="B19">
            <v>38364107</v>
          </cell>
        </row>
        <row r="20">
          <cell r="B20">
            <v>39622108</v>
          </cell>
        </row>
        <row r="21">
          <cell r="B21">
            <v>40011162</v>
          </cell>
        </row>
        <row r="22">
          <cell r="B22">
            <v>40025231</v>
          </cell>
        </row>
        <row r="23">
          <cell r="B23">
            <v>40026213</v>
          </cell>
        </row>
        <row r="24">
          <cell r="B24">
            <v>40026554</v>
          </cell>
        </row>
        <row r="25">
          <cell r="B25">
            <v>40027340</v>
          </cell>
        </row>
        <row r="26">
          <cell r="B26">
            <v>40031439</v>
          </cell>
        </row>
        <row r="27">
          <cell r="B27">
            <v>40039782</v>
          </cell>
        </row>
        <row r="28">
          <cell r="B28">
            <v>40043467</v>
          </cell>
        </row>
        <row r="29">
          <cell r="B29">
            <v>40046766</v>
          </cell>
        </row>
        <row r="30">
          <cell r="B30">
            <v>40047914</v>
          </cell>
        </row>
        <row r="31">
          <cell r="B31">
            <v>40049189</v>
          </cell>
        </row>
        <row r="32">
          <cell r="B32">
            <v>46353868</v>
          </cell>
        </row>
        <row r="33">
          <cell r="B33">
            <v>46377995</v>
          </cell>
        </row>
        <row r="34">
          <cell r="B34">
            <v>46456416</v>
          </cell>
        </row>
        <row r="35">
          <cell r="B35">
            <v>46458212</v>
          </cell>
        </row>
        <row r="36">
          <cell r="B36">
            <v>46668718</v>
          </cell>
        </row>
        <row r="37">
          <cell r="B37">
            <v>46670898</v>
          </cell>
        </row>
        <row r="38">
          <cell r="B38">
            <v>46674471</v>
          </cell>
        </row>
        <row r="39">
          <cell r="B39">
            <v>46674656</v>
          </cell>
        </row>
        <row r="40">
          <cell r="B40">
            <v>51573004</v>
          </cell>
        </row>
        <row r="41">
          <cell r="B41">
            <v>52153597</v>
          </cell>
        </row>
        <row r="42">
          <cell r="B42">
            <v>52818333</v>
          </cell>
        </row>
        <row r="43">
          <cell r="B43">
            <v>55221829</v>
          </cell>
        </row>
        <row r="44">
          <cell r="B44">
            <v>55231603</v>
          </cell>
        </row>
        <row r="45">
          <cell r="B45">
            <v>63321156</v>
          </cell>
        </row>
        <row r="46">
          <cell r="B46">
            <v>63516474</v>
          </cell>
        </row>
        <row r="47">
          <cell r="B47">
            <v>63552820</v>
          </cell>
        </row>
        <row r="48">
          <cell r="B48">
            <v>1032393677</v>
          </cell>
        </row>
        <row r="49">
          <cell r="B49">
            <v>1032401329</v>
          </cell>
        </row>
        <row r="50">
          <cell r="B50">
            <v>1049602564</v>
          </cell>
        </row>
        <row r="51">
          <cell r="B51">
            <v>1049603115</v>
          </cell>
        </row>
        <row r="52">
          <cell r="B52">
            <v>1049604593</v>
          </cell>
        </row>
        <row r="53">
          <cell r="B53">
            <v>1049608389</v>
          </cell>
        </row>
        <row r="54">
          <cell r="B54">
            <v>1049612879</v>
          </cell>
        </row>
        <row r="55">
          <cell r="B55">
            <v>1049625516</v>
          </cell>
        </row>
        <row r="56">
          <cell r="B56">
            <v>1056074171</v>
          </cell>
        </row>
        <row r="57">
          <cell r="B57">
            <v>1057462594</v>
          </cell>
        </row>
        <row r="58">
          <cell r="B58">
            <v>1057576742</v>
          </cell>
        </row>
        <row r="59">
          <cell r="B59">
            <v>1057583526</v>
          </cell>
        </row>
        <row r="60">
          <cell r="B60">
            <v>1069728094</v>
          </cell>
        </row>
        <row r="61">
          <cell r="B61">
            <v>1129520141</v>
          </cell>
        </row>
      </sheetData>
      <sheetData sheetId="14"/>
      <sheetData sheetId="15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"/>
      <sheetName val="CANT_"/>
      <sheetName val="B"/>
    </sheetNames>
    <sheetDataSet>
      <sheetData sheetId="0"/>
      <sheetData sheetId="1" refreshError="1"/>
      <sheetData sheetId="2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NT_"/>
      <sheetName val="B"/>
      <sheetName val="C"/>
    </sheetNames>
    <sheetDataSet>
      <sheetData sheetId="0" refreshError="1"/>
      <sheetData sheetId="1" refreshError="1"/>
      <sheetData sheetId="2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BORATORIO"/>
      <sheetName val="BACT NOVIEMBRE"/>
      <sheetName val="LAB. AUXILIARES"/>
      <sheetName val="Personas"/>
      <sheetName val="RefTurnos"/>
      <sheetName val="Periodos"/>
      <sheetName val="Hoja1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UNIO 1-15"/>
      <sheetName val="INCAP. JUNIO 1-15"/>
      <sheetName val="COMP JUNIO 1-15"/>
      <sheetName val="COMP. INCAPACIDADES"/>
      <sheetName val="NOVEDADES 1-15 JUNIO"/>
      <sheetName val="JUNIO 1_15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UNIO 1_15"/>
    </sheetNames>
    <sheetDataSet>
      <sheetData sheetId="0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.S.E. HOSPITAL SAN RAFAEL"/>
      <sheetName val="Hoja2"/>
      <sheetName val="Hoja1"/>
      <sheetName val="INCAPACITADOS COLTEMPORA"/>
      <sheetName val="EMBARAZADAS CON LABORAMOS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MINA"/>
      <sheetName val="NOMINA (2)"/>
      <sheetName val="COMPROBANTES"/>
      <sheetName val="Hoja1"/>
      <sheetName val="CONTRATOS"/>
      <sheetName val="INGRESOS"/>
      <sheetName val="RELACION PAGO"/>
    </sheetNames>
    <sheetDataSet>
      <sheetData sheetId="0" refreshError="1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urnos"/>
      <sheetName val="Personas"/>
      <sheetName val="RefTurnos"/>
      <sheetName val="Periodos"/>
    </sheetNames>
    <sheetDataSet>
      <sheetData sheetId="0"/>
      <sheetData sheetId="1">
        <row r="1">
          <cell r="B1" t="str">
            <v>documento</v>
          </cell>
        </row>
        <row r="2">
          <cell r="B2">
            <v>4237150</v>
          </cell>
        </row>
        <row r="3">
          <cell r="B3">
            <v>6764934</v>
          </cell>
        </row>
        <row r="4">
          <cell r="B4">
            <v>7166729</v>
          </cell>
        </row>
        <row r="5">
          <cell r="B5">
            <v>7179036</v>
          </cell>
        </row>
        <row r="6">
          <cell r="B6">
            <v>7186436</v>
          </cell>
        </row>
        <row r="7">
          <cell r="B7">
            <v>7186869</v>
          </cell>
        </row>
        <row r="8">
          <cell r="B8">
            <v>9525235</v>
          </cell>
        </row>
        <row r="9">
          <cell r="B9">
            <v>9590162</v>
          </cell>
        </row>
        <row r="10">
          <cell r="B10">
            <v>1049609542</v>
          </cell>
        </row>
        <row r="11">
          <cell r="B11">
            <v>1049620011</v>
          </cell>
        </row>
        <row r="12">
          <cell r="B12">
            <v>1052314053</v>
          </cell>
        </row>
      </sheetData>
      <sheetData sheetId="2"/>
      <sheetData sheetId="3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urnos"/>
      <sheetName val="Personas"/>
      <sheetName val="RefTurnos"/>
      <sheetName val="Periodos"/>
      <sheetName val="DV-IDENTITY-0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PruebaEmp"/>
      <sheetName val="Liquidaciones"/>
    </sheetNames>
    <sheetDataSet>
      <sheetData sheetId="0"/>
      <sheetData sheetId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PruebaEmp"/>
      <sheetName val="Liquidaciones"/>
    </sheetNames>
    <sheetDataSet>
      <sheetData sheetId="0"/>
      <sheetData sheetId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UNIO 1-15"/>
      <sheetName val="INCAP. JUNIO 1-15"/>
      <sheetName val="COMP JUNIO 1-15"/>
      <sheetName val="COMP. INCAPACIDADES"/>
      <sheetName val="NOVEDADES 1-15 JUNIO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NOMINA"/>
      <sheetName val="COMPROBANTES"/>
      <sheetName val="Hoja3"/>
    </sheetNames>
    <sheetDataSet>
      <sheetData sheetId="0"/>
      <sheetData sheetId="1"/>
      <sheetData sheetId="2"/>
      <sheetData sheetId="3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MINA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53B20F-3E25-4B97-A27C-886BDB5C3137}">
  <sheetPr>
    <tabColor theme="5" tint="0.39997558519241921"/>
  </sheetPr>
  <dimension ref="B1:AS112"/>
  <sheetViews>
    <sheetView tabSelected="1" showWhiteSpace="0" view="pageBreakPreview" topLeftCell="Y65" zoomScale="110" zoomScaleNormal="62" zoomScaleSheetLayoutView="110" zoomScalePageLayoutView="71" workbookViewId="0">
      <selection activeCell="AF82" sqref="AF82"/>
    </sheetView>
  </sheetViews>
  <sheetFormatPr baseColWidth="10" defaultColWidth="11.42578125" defaultRowHeight="11.25" outlineLevelRow="2" x14ac:dyDescent="0.25"/>
  <cols>
    <col min="1" max="1" width="11.42578125" style="9"/>
    <col min="2" max="2" width="13.28515625" style="9" customWidth="1"/>
    <col min="3" max="4" width="14" style="9" customWidth="1"/>
    <col min="5" max="5" width="14.140625" style="9" customWidth="1"/>
    <col min="6" max="6" width="14.85546875" style="9" customWidth="1"/>
    <col min="7" max="7" width="11.140625" style="5" customWidth="1"/>
    <col min="8" max="8" width="74.7109375" style="9" customWidth="1"/>
    <col min="9" max="9" width="20" style="33" customWidth="1"/>
    <col min="10" max="10" width="5.140625" style="9" customWidth="1"/>
    <col min="11" max="11" width="22.7109375" style="9" customWidth="1"/>
    <col min="12" max="12" width="17.7109375" style="9" customWidth="1"/>
    <col min="13" max="13" width="9" style="28" customWidth="1"/>
    <col min="14" max="14" width="13.5703125" style="28" customWidth="1"/>
    <col min="15" max="15" width="21.7109375" style="28" customWidth="1"/>
    <col min="16" max="16" width="13.7109375" style="9" customWidth="1"/>
    <col min="17" max="17" width="11.5703125" style="28" customWidth="1"/>
    <col min="18" max="18" width="10.140625" style="29" customWidth="1"/>
    <col min="19" max="19" width="14.140625" style="28" customWidth="1"/>
    <col min="20" max="20" width="8.5703125" style="9" customWidth="1"/>
    <col min="21" max="21" width="11" style="9" customWidth="1"/>
    <col min="22" max="22" width="11.7109375" style="13" customWidth="1"/>
    <col min="23" max="24" width="10.42578125" style="9" customWidth="1"/>
    <col min="25" max="25" width="10.28515625" style="9" customWidth="1"/>
    <col min="26" max="26" width="10.7109375" style="9" customWidth="1"/>
    <col min="27" max="27" width="12.7109375" style="9" customWidth="1"/>
    <col min="28" max="28" width="11.7109375" style="9" customWidth="1"/>
    <col min="29" max="29" width="12.5703125" style="9" customWidth="1"/>
    <col min="30" max="30" width="17.28515625" style="9" customWidth="1"/>
    <col min="31" max="31" width="6.42578125" style="9" customWidth="1"/>
    <col min="32" max="32" width="8.7109375" style="9" customWidth="1"/>
    <col min="33" max="33" width="12.140625" style="9" customWidth="1"/>
    <col min="34" max="34" width="16.85546875" style="9" customWidth="1"/>
    <col min="35" max="35" width="9.140625" style="9" customWidth="1"/>
    <col min="36" max="36" width="12.140625" style="9" customWidth="1"/>
    <col min="37" max="37" width="12" style="9" customWidth="1"/>
    <col min="38" max="38" width="7.140625" style="9" customWidth="1"/>
    <col min="39" max="39" width="14.140625" style="13" customWidth="1"/>
    <col min="40" max="40" width="17.42578125" style="13" customWidth="1"/>
    <col min="41" max="41" width="23.28515625" style="14" customWidth="1"/>
    <col min="42" max="42" width="16.140625" style="9" hidden="1" customWidth="1"/>
    <col min="43" max="43" width="19.140625" style="15" hidden="1" customWidth="1"/>
    <col min="44" max="44" width="23.5703125" style="9" hidden="1" customWidth="1"/>
    <col min="45" max="45" width="12.85546875" style="9" bestFit="1" customWidth="1"/>
    <col min="46" max="16384" width="11.42578125" style="9"/>
  </cols>
  <sheetData>
    <row r="1" spans="2:44" ht="24.75" customHeight="1" x14ac:dyDescent="0.15">
      <c r="B1" s="1">
        <v>2025</v>
      </c>
      <c r="C1" s="2" t="s">
        <v>0</v>
      </c>
      <c r="D1" s="3" t="s">
        <v>1</v>
      </c>
      <c r="E1" s="1">
        <v>2026</v>
      </c>
      <c r="F1" s="4"/>
      <c r="H1" s="6"/>
      <c r="I1" s="7"/>
      <c r="J1" s="8"/>
      <c r="M1" s="10"/>
      <c r="N1" s="10"/>
      <c r="O1" s="10"/>
      <c r="Q1" s="10"/>
      <c r="R1" s="11"/>
      <c r="S1" s="10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</row>
    <row r="2" spans="2:44" ht="12.95" customHeight="1" x14ac:dyDescent="0.15">
      <c r="B2" s="16">
        <v>1423500</v>
      </c>
      <c r="C2" s="17">
        <v>0.23</v>
      </c>
      <c r="D2" s="16">
        <f>B2*C2</f>
        <v>327405</v>
      </c>
      <c r="E2" s="16">
        <f>ROUND(B2+D2,0)</f>
        <v>1750905</v>
      </c>
      <c r="F2" s="18"/>
      <c r="H2" s="6"/>
      <c r="I2" s="19"/>
      <c r="J2" s="19"/>
      <c r="M2" s="10"/>
      <c r="N2" s="10"/>
      <c r="O2" s="10"/>
      <c r="Q2" s="10"/>
      <c r="R2" s="20"/>
      <c r="S2" s="10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</row>
    <row r="3" spans="2:44" ht="12.95" customHeight="1" x14ac:dyDescent="0.15">
      <c r="B3" s="16">
        <v>200000</v>
      </c>
      <c r="C3" s="17">
        <v>0.245477</v>
      </c>
      <c r="D3" s="16">
        <f>B3*C3</f>
        <v>49095.4</v>
      </c>
      <c r="E3" s="16">
        <f>ROUND(B3+D3,0)</f>
        <v>249095</v>
      </c>
      <c r="F3" s="18"/>
      <c r="H3" s="6"/>
      <c r="I3" s="19"/>
      <c r="J3" s="19"/>
      <c r="M3" s="10"/>
      <c r="N3" s="10"/>
      <c r="O3" s="10"/>
      <c r="Q3" s="10"/>
      <c r="R3" s="20"/>
      <c r="S3" s="10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</row>
    <row r="4" spans="2:44" ht="14.25" customHeight="1" x14ac:dyDescent="0.25">
      <c r="C4" s="9" t="s">
        <v>2</v>
      </c>
      <c r="H4" s="21" t="s">
        <v>3</v>
      </c>
      <c r="I4" s="22"/>
      <c r="J4" s="19"/>
      <c r="K4" s="19"/>
      <c r="L4" s="19"/>
      <c r="M4" s="10"/>
      <c r="N4" s="10"/>
      <c r="O4" s="10"/>
      <c r="P4" s="19"/>
      <c r="Q4" s="10"/>
      <c r="R4" s="20"/>
      <c r="S4" s="10"/>
      <c r="T4" s="12"/>
      <c r="U4" s="23"/>
      <c r="V4" s="12"/>
      <c r="W4" s="12"/>
      <c r="X4" s="12"/>
      <c r="Z4" s="12"/>
      <c r="AA4" s="12"/>
      <c r="AB4" s="12"/>
      <c r="AC4" s="12"/>
      <c r="AD4" s="24" t="s">
        <v>4</v>
      </c>
      <c r="AE4" s="12"/>
      <c r="AF4" s="12"/>
      <c r="AG4" s="12"/>
      <c r="AH4" s="12"/>
      <c r="AI4" s="12"/>
      <c r="AJ4" s="12"/>
    </row>
    <row r="5" spans="2:44" ht="15" customHeight="1" x14ac:dyDescent="0.25">
      <c r="B5" s="25"/>
      <c r="D5" s="26"/>
      <c r="E5" s="25"/>
      <c r="H5" s="21"/>
      <c r="I5" s="27"/>
      <c r="J5" s="19"/>
      <c r="K5" s="19"/>
      <c r="L5" s="19"/>
      <c r="M5" s="10"/>
      <c r="N5" s="10"/>
      <c r="O5" s="10"/>
      <c r="P5" s="19"/>
      <c r="Q5" s="10"/>
      <c r="R5" s="20"/>
      <c r="S5" s="10"/>
      <c r="T5" s="12"/>
      <c r="U5" s="12"/>
      <c r="V5" s="12"/>
      <c r="W5" s="10" t="s">
        <v>5</v>
      </c>
      <c r="Y5" s="12"/>
      <c r="Z5" s="12"/>
      <c r="AA5" s="12"/>
      <c r="AB5" s="24" t="s">
        <v>6</v>
      </c>
      <c r="AC5" s="12"/>
      <c r="AD5" s="12"/>
      <c r="AE5" s="12"/>
      <c r="AF5" s="12"/>
      <c r="AG5" s="12"/>
      <c r="AH5" s="12"/>
      <c r="AI5" s="12"/>
      <c r="AJ5" s="12"/>
    </row>
    <row r="6" spans="2:44" ht="15" customHeight="1" x14ac:dyDescent="0.25">
      <c r="B6" s="25"/>
      <c r="D6" s="26"/>
      <c r="E6" s="25"/>
      <c r="H6" s="21"/>
      <c r="I6" s="22"/>
      <c r="J6" s="19"/>
      <c r="K6" s="19"/>
      <c r="L6" s="19"/>
      <c r="P6" s="19"/>
      <c r="V6" s="9"/>
    </row>
    <row r="7" spans="2:44" ht="15" customHeight="1" x14ac:dyDescent="0.25">
      <c r="B7" s="25"/>
      <c r="D7" s="26"/>
      <c r="E7" s="25"/>
      <c r="H7" s="30"/>
      <c r="I7" s="14"/>
      <c r="J7" s="19"/>
      <c r="K7" s="31"/>
      <c r="L7" s="19"/>
      <c r="M7" s="10"/>
      <c r="N7" s="24"/>
      <c r="O7" s="10"/>
      <c r="P7" s="19"/>
      <c r="Q7" s="10"/>
      <c r="R7" s="20"/>
      <c r="S7" s="10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</row>
    <row r="8" spans="2:44" ht="15" customHeight="1" x14ac:dyDescent="0.25">
      <c r="G8" s="32"/>
      <c r="H8" s="14"/>
      <c r="J8" s="34"/>
      <c r="K8" s="31"/>
      <c r="L8" s="35"/>
      <c r="M8" s="10"/>
      <c r="N8" s="10"/>
      <c r="O8" s="10"/>
      <c r="P8" s="35"/>
      <c r="Q8" s="10"/>
      <c r="T8" s="10" t="s">
        <v>7</v>
      </c>
      <c r="U8" s="12"/>
      <c r="V8" s="12"/>
      <c r="W8" s="12"/>
      <c r="X8" s="12"/>
      <c r="Z8" s="12" t="s">
        <v>8</v>
      </c>
      <c r="AA8" s="12"/>
      <c r="AB8" s="12"/>
      <c r="AC8" s="12"/>
      <c r="AM8" s="9"/>
      <c r="AN8" s="9"/>
    </row>
    <row r="9" spans="2:44" ht="15" customHeight="1" x14ac:dyDescent="0.25">
      <c r="G9" s="32"/>
      <c r="H9" s="14"/>
      <c r="I9" s="14"/>
      <c r="J9" s="34"/>
      <c r="K9" s="14"/>
      <c r="L9" s="14"/>
      <c r="M9" s="10"/>
      <c r="N9" s="10"/>
      <c r="O9" s="10"/>
      <c r="P9" s="35"/>
      <c r="Q9" s="10"/>
      <c r="T9" s="10"/>
      <c r="U9" s="12"/>
      <c r="V9" s="12"/>
      <c r="W9" s="12"/>
      <c r="X9" s="12"/>
      <c r="Z9" s="12"/>
      <c r="AA9" s="12"/>
      <c r="AB9" s="12"/>
      <c r="AC9" s="12"/>
      <c r="AM9" s="9"/>
      <c r="AN9" s="9"/>
    </row>
    <row r="10" spans="2:44" ht="39" customHeight="1" x14ac:dyDescent="0.25">
      <c r="B10" s="2" t="s">
        <v>9</v>
      </c>
      <c r="C10" s="2" t="s">
        <v>10</v>
      </c>
      <c r="D10" s="2" t="s">
        <v>11</v>
      </c>
      <c r="E10" s="2" t="s">
        <v>12</v>
      </c>
      <c r="F10" s="2" t="s">
        <v>13</v>
      </c>
      <c r="G10" s="2" t="s">
        <v>14</v>
      </c>
      <c r="H10" s="2" t="s">
        <v>15</v>
      </c>
      <c r="I10" s="2" t="s">
        <v>16</v>
      </c>
      <c r="J10" s="36" t="s">
        <v>17</v>
      </c>
      <c r="K10" s="37" t="s">
        <v>18</v>
      </c>
      <c r="L10" s="37" t="s">
        <v>19</v>
      </c>
      <c r="M10" s="36" t="s">
        <v>20</v>
      </c>
      <c r="N10" s="36" t="s">
        <v>21</v>
      </c>
      <c r="O10" s="36" t="s">
        <v>22</v>
      </c>
      <c r="P10" s="37" t="s">
        <v>23</v>
      </c>
      <c r="Q10" s="36" t="s">
        <v>24</v>
      </c>
      <c r="R10" s="38" t="s">
        <v>25</v>
      </c>
      <c r="S10" s="36" t="s">
        <v>26</v>
      </c>
      <c r="T10" s="36" t="s">
        <v>27</v>
      </c>
      <c r="U10" s="36" t="s">
        <v>28</v>
      </c>
      <c r="V10" s="38" t="s">
        <v>29</v>
      </c>
      <c r="W10" s="36" t="s">
        <v>30</v>
      </c>
      <c r="X10" s="36" t="s">
        <v>31</v>
      </c>
      <c r="Y10" s="36" t="s">
        <v>32</v>
      </c>
      <c r="Z10" s="36" t="s">
        <v>33</v>
      </c>
      <c r="AA10" s="36" t="s">
        <v>34</v>
      </c>
      <c r="AB10" s="36" t="s">
        <v>35</v>
      </c>
      <c r="AC10" s="36" t="s">
        <v>36</v>
      </c>
      <c r="AD10" s="36" t="s">
        <v>37</v>
      </c>
      <c r="AE10" s="36" t="s">
        <v>38</v>
      </c>
      <c r="AF10" s="36" t="s">
        <v>39</v>
      </c>
      <c r="AG10" s="36" t="s">
        <v>40</v>
      </c>
      <c r="AH10" s="36" t="s">
        <v>41</v>
      </c>
      <c r="AI10" s="36" t="s">
        <v>42</v>
      </c>
      <c r="AJ10" s="36"/>
      <c r="AK10" s="36" t="s">
        <v>40</v>
      </c>
      <c r="AL10" s="36" t="s">
        <v>43</v>
      </c>
      <c r="AM10" s="36" t="s">
        <v>44</v>
      </c>
      <c r="AN10" s="36" t="s">
        <v>45</v>
      </c>
      <c r="AO10" s="39" t="s">
        <v>46</v>
      </c>
    </row>
    <row r="11" spans="2:44" ht="15" customHeight="1" outlineLevel="2" x14ac:dyDescent="0.25">
      <c r="B11" s="40">
        <v>1533878</v>
      </c>
      <c r="C11" s="41">
        <f>+E11/B11-1</f>
        <v>0.30388466357819843</v>
      </c>
      <c r="D11" s="40">
        <f>+B11*C11</f>
        <v>466121.99999999988</v>
      </c>
      <c r="E11" s="42">
        <v>2000000</v>
      </c>
      <c r="F11" s="42" t="s">
        <v>47</v>
      </c>
      <c r="G11" s="43">
        <v>4</v>
      </c>
      <c r="H11" s="44" t="s">
        <v>48</v>
      </c>
      <c r="I11" s="42">
        <f>+E11</f>
        <v>2000000</v>
      </c>
      <c r="J11" s="45">
        <v>30</v>
      </c>
      <c r="K11" s="46">
        <f t="shared" ref="K11:K19" si="0">I11/30*J11</f>
        <v>2000000.0000000002</v>
      </c>
      <c r="L11" s="47">
        <f t="shared" ref="L11:L76" si="1">IF(I11&lt;=(E$2*2),(E$3/30*J11),0)+$I$6</f>
        <v>249094.99999999997</v>
      </c>
      <c r="M11" s="46">
        <v>0</v>
      </c>
      <c r="N11" s="46">
        <v>0</v>
      </c>
      <c r="O11" s="46">
        <f t="shared" ref="O11:O76" si="2">SUM(K11:N11)</f>
        <v>2249095</v>
      </c>
      <c r="P11" s="47">
        <v>0</v>
      </c>
      <c r="Q11" s="47">
        <v>50000</v>
      </c>
      <c r="R11" s="48">
        <f t="shared" ref="R11:R76" si="3">+J11</f>
        <v>30</v>
      </c>
      <c r="S11" s="46">
        <f t="shared" ref="S11:S76" si="4">(IF((O11-L11)&lt;E$2/30*R11,E$2/30*R11,(O11-L11)))+IF((((Q11-((I11+Q11)*40%))))&gt;1,(((Q11-((I11+Q11)*40%)))),0)</f>
        <v>2000000</v>
      </c>
      <c r="T11" s="49">
        <f>CEILING(IF((O11+Q11)&gt;($E$2*10),S11*8%,0),100)</f>
        <v>0</v>
      </c>
      <c r="U11" s="49">
        <f>CEILING((S11)*12%,100)</f>
        <v>240000</v>
      </c>
      <c r="V11" s="49">
        <f>CEILING((S11)*2.436%,100)</f>
        <v>48800</v>
      </c>
      <c r="W11" s="49">
        <f>CEILING((S11)*4%,100)</f>
        <v>80000</v>
      </c>
      <c r="X11" s="49">
        <f>(Z11)*4%</f>
        <v>3333.3599999999997</v>
      </c>
      <c r="Y11" s="49">
        <f>SUM(T11:X11)</f>
        <v>372133.36</v>
      </c>
      <c r="Z11" s="49">
        <f>(O11-L11)*4.1667%</f>
        <v>83333.999999999985</v>
      </c>
      <c r="AA11" s="49">
        <f>+O11*8.33333%</f>
        <v>187424.5083635</v>
      </c>
      <c r="AB11" s="49">
        <f>+O11*8.33333%</f>
        <v>187424.5083635</v>
      </c>
      <c r="AC11" s="49">
        <f>+O11*1%</f>
        <v>22490.95</v>
      </c>
      <c r="AD11" s="50">
        <f>SUM(Z11:AC11)</f>
        <v>480673.96672700002</v>
      </c>
      <c r="AE11" s="51">
        <f t="shared" ref="AE11:AE68" si="5">IF(I11&lt;=(E$2*2),50000,0)*0</f>
        <v>0</v>
      </c>
      <c r="AF11" s="52">
        <v>0</v>
      </c>
      <c r="AG11" s="53">
        <f>ROUND(O11+Q11+Y11+AD11+AE11+AF11+P11,0)</f>
        <v>3151902</v>
      </c>
      <c r="AH11" s="53">
        <f t="shared" ref="AH11:AH76" si="6">ROUND((AG11*G11),0)</f>
        <v>12607608</v>
      </c>
      <c r="AI11" s="50">
        <v>0</v>
      </c>
      <c r="AJ11" s="50">
        <f t="shared" ref="AJ11:AJ76" si="7">+AI11*G11</f>
        <v>0</v>
      </c>
      <c r="AK11" s="50">
        <f t="shared" ref="AK11:AK19" si="8">+AG11+AI11</f>
        <v>3151902</v>
      </c>
      <c r="AL11" s="50">
        <f t="shared" ref="AL11:AL19" si="9">+AI11*19%</f>
        <v>0</v>
      </c>
      <c r="AM11" s="50">
        <f t="shared" ref="AM11:AM19" si="10">ROUND(AK11+AL11,0)</f>
        <v>3151902</v>
      </c>
      <c r="AN11" s="50">
        <f t="shared" ref="AN11:AN76" si="11">AM11*G11</f>
        <v>12607608</v>
      </c>
      <c r="AO11" s="54">
        <f t="shared" ref="AO11:AO74" si="12">AN11*5</f>
        <v>63038040</v>
      </c>
      <c r="AQ11" s="15">
        <f>+AN11*6</f>
        <v>75645648</v>
      </c>
      <c r="AR11" s="55"/>
    </row>
    <row r="12" spans="2:44" ht="15" customHeight="1" outlineLevel="2" x14ac:dyDescent="0.25">
      <c r="B12" s="42">
        <v>1626573</v>
      </c>
      <c r="C12" s="41">
        <f>+E12/B12-1</f>
        <v>0.2295789982988774</v>
      </c>
      <c r="D12" s="56">
        <f>+B12*C12</f>
        <v>373426.99999999988</v>
      </c>
      <c r="E12" s="42">
        <v>2000000</v>
      </c>
      <c r="F12" s="42" t="s">
        <v>47</v>
      </c>
      <c r="G12" s="43">
        <v>728</v>
      </c>
      <c r="H12" s="44" t="s">
        <v>49</v>
      </c>
      <c r="I12" s="42">
        <f t="shared" ref="I12:I76" si="13">+E12</f>
        <v>2000000</v>
      </c>
      <c r="J12" s="45">
        <v>30</v>
      </c>
      <c r="K12" s="46">
        <f t="shared" si="0"/>
        <v>2000000.0000000002</v>
      </c>
      <c r="L12" s="47">
        <f t="shared" si="1"/>
        <v>249094.99999999997</v>
      </c>
      <c r="M12" s="46">
        <v>0</v>
      </c>
      <c r="N12" s="46">
        <v>0</v>
      </c>
      <c r="O12" s="46">
        <f t="shared" si="2"/>
        <v>2249095</v>
      </c>
      <c r="P12" s="47">
        <v>0</v>
      </c>
      <c r="Q12" s="47">
        <v>50000</v>
      </c>
      <c r="R12" s="48">
        <f t="shared" si="3"/>
        <v>30</v>
      </c>
      <c r="S12" s="46">
        <f t="shared" si="4"/>
        <v>2000000</v>
      </c>
      <c r="T12" s="49">
        <f t="shared" ref="T12:T76" si="14">CEILING(IF((O12+Q12)&gt;($E$2*10),S12*8%,0),100)</f>
        <v>0</v>
      </c>
      <c r="U12" s="49">
        <f t="shared" ref="U12:U19" si="15">CEILING((S12)*12%,100)</f>
        <v>240000</v>
      </c>
      <c r="V12" s="49">
        <f t="shared" ref="V12" si="16">CEILING((S12)*2.436%,100)</f>
        <v>48800</v>
      </c>
      <c r="W12" s="49">
        <f>CEILING((S12)*4%,100)</f>
        <v>80000</v>
      </c>
      <c r="X12" s="49">
        <f t="shared" ref="X12:X75" si="17">(Z12)*4%</f>
        <v>3333.3599999999997</v>
      </c>
      <c r="Y12" s="49">
        <f t="shared" ref="Y12:Y19" si="18">SUM(T12:X12)</f>
        <v>372133.36</v>
      </c>
      <c r="Z12" s="49">
        <f>(O12-L12)*4.1667%</f>
        <v>83333.999999999985</v>
      </c>
      <c r="AA12" s="49">
        <f t="shared" ref="AA12:AA19" si="19">+O12*8.33333%</f>
        <v>187424.5083635</v>
      </c>
      <c r="AB12" s="49">
        <f t="shared" ref="AB12:AB19" si="20">+O12*8.33333%</f>
        <v>187424.5083635</v>
      </c>
      <c r="AC12" s="49">
        <f t="shared" ref="AC12:AC19" si="21">+O12*1%</f>
        <v>22490.95</v>
      </c>
      <c r="AD12" s="50">
        <f t="shared" ref="AD12:AD76" si="22">SUM(Z12:AC12)</f>
        <v>480673.96672700002</v>
      </c>
      <c r="AE12" s="51">
        <f t="shared" si="5"/>
        <v>0</v>
      </c>
      <c r="AF12" s="52">
        <v>0</v>
      </c>
      <c r="AG12" s="53">
        <f t="shared" ref="AG12:AG76" si="23">ROUND(O12+Q12+Y12+AD12+AE12+AF12+P12,0)</f>
        <v>3151902</v>
      </c>
      <c r="AH12" s="53">
        <f t="shared" si="6"/>
        <v>2294584656</v>
      </c>
      <c r="AI12" s="50">
        <v>0</v>
      </c>
      <c r="AJ12" s="50">
        <f t="shared" si="7"/>
        <v>0</v>
      </c>
      <c r="AK12" s="50">
        <f t="shared" si="8"/>
        <v>3151902</v>
      </c>
      <c r="AL12" s="50">
        <f t="shared" si="9"/>
        <v>0</v>
      </c>
      <c r="AM12" s="50">
        <f t="shared" si="10"/>
        <v>3151902</v>
      </c>
      <c r="AN12" s="50">
        <f t="shared" si="11"/>
        <v>2294584656</v>
      </c>
      <c r="AO12" s="54">
        <f t="shared" si="12"/>
        <v>11472923280</v>
      </c>
      <c r="AQ12" s="15">
        <f t="shared" ref="AQ12:AQ76" si="24">+AN12*6</f>
        <v>13767507936</v>
      </c>
      <c r="AR12" s="55"/>
    </row>
    <row r="13" spans="2:44" ht="15" customHeight="1" outlineLevel="2" x14ac:dyDescent="0.25">
      <c r="B13" s="42">
        <v>1626573</v>
      </c>
      <c r="C13" s="41">
        <f>+E13/B13-1</f>
        <v>0.2295789982988774</v>
      </c>
      <c r="D13" s="56">
        <f>+B13*C13</f>
        <v>373426.99999999988</v>
      </c>
      <c r="E13" s="42">
        <v>2000000</v>
      </c>
      <c r="F13" s="42" t="s">
        <v>47</v>
      </c>
      <c r="G13" s="43">
        <v>8</v>
      </c>
      <c r="H13" s="44" t="s">
        <v>50</v>
      </c>
      <c r="I13" s="42">
        <f t="shared" si="13"/>
        <v>2000000</v>
      </c>
      <c r="J13" s="45">
        <v>30</v>
      </c>
      <c r="K13" s="46">
        <f t="shared" si="0"/>
        <v>2000000.0000000002</v>
      </c>
      <c r="L13" s="47">
        <f t="shared" si="1"/>
        <v>249094.99999999997</v>
      </c>
      <c r="M13" s="46">
        <v>0</v>
      </c>
      <c r="N13" s="46">
        <v>0</v>
      </c>
      <c r="O13" s="46">
        <f t="shared" si="2"/>
        <v>2249095</v>
      </c>
      <c r="P13" s="47">
        <v>0</v>
      </c>
      <c r="Q13" s="47">
        <v>50000</v>
      </c>
      <c r="R13" s="48">
        <f t="shared" si="3"/>
        <v>30</v>
      </c>
      <c r="S13" s="46">
        <f t="shared" si="4"/>
        <v>2000000</v>
      </c>
      <c r="T13" s="49">
        <f t="shared" si="14"/>
        <v>0</v>
      </c>
      <c r="U13" s="49">
        <f t="shared" si="15"/>
        <v>240000</v>
      </c>
      <c r="V13" s="49">
        <f>CEILING((S13)*4.35%,100)</f>
        <v>87000</v>
      </c>
      <c r="W13" s="49">
        <f t="shared" ref="W13:W19" si="25">CEILING((S13)*4%,100)</f>
        <v>80000</v>
      </c>
      <c r="X13" s="49">
        <f t="shared" si="17"/>
        <v>3333.3599999999997</v>
      </c>
      <c r="Y13" s="49">
        <f t="shared" si="18"/>
        <v>410333.36</v>
      </c>
      <c r="Z13" s="49">
        <f>(O13-L13)*4.1667%</f>
        <v>83333.999999999985</v>
      </c>
      <c r="AA13" s="49">
        <f t="shared" si="19"/>
        <v>187424.5083635</v>
      </c>
      <c r="AB13" s="49">
        <f t="shared" si="20"/>
        <v>187424.5083635</v>
      </c>
      <c r="AC13" s="49">
        <f t="shared" si="21"/>
        <v>22490.95</v>
      </c>
      <c r="AD13" s="50">
        <f t="shared" si="22"/>
        <v>480673.96672700002</v>
      </c>
      <c r="AE13" s="51">
        <f t="shared" si="5"/>
        <v>0</v>
      </c>
      <c r="AF13" s="52">
        <v>0</v>
      </c>
      <c r="AG13" s="53">
        <f t="shared" si="23"/>
        <v>3190102</v>
      </c>
      <c r="AH13" s="53">
        <f t="shared" si="6"/>
        <v>25520816</v>
      </c>
      <c r="AI13" s="50">
        <v>0</v>
      </c>
      <c r="AJ13" s="50">
        <f t="shared" si="7"/>
        <v>0</v>
      </c>
      <c r="AK13" s="50">
        <f t="shared" si="8"/>
        <v>3190102</v>
      </c>
      <c r="AL13" s="50">
        <f t="shared" si="9"/>
        <v>0</v>
      </c>
      <c r="AM13" s="50">
        <f t="shared" si="10"/>
        <v>3190102</v>
      </c>
      <c r="AN13" s="50">
        <f t="shared" si="11"/>
        <v>25520816</v>
      </c>
      <c r="AO13" s="54">
        <f t="shared" si="12"/>
        <v>127604080</v>
      </c>
      <c r="AQ13" s="15">
        <f t="shared" si="24"/>
        <v>153124896</v>
      </c>
      <c r="AR13" s="55"/>
    </row>
    <row r="14" spans="2:44" ht="15" customHeight="1" outlineLevel="2" x14ac:dyDescent="0.25">
      <c r="B14" s="42">
        <v>1625192</v>
      </c>
      <c r="C14" s="41">
        <f>+E14/B14-1</f>
        <v>0.23062382783080393</v>
      </c>
      <c r="D14" s="56">
        <f>+B14*C14</f>
        <v>374807.99999999988</v>
      </c>
      <c r="E14" s="42">
        <v>2000000</v>
      </c>
      <c r="F14" s="42" t="s">
        <v>47</v>
      </c>
      <c r="G14" s="43">
        <v>14</v>
      </c>
      <c r="H14" s="44" t="s">
        <v>51</v>
      </c>
      <c r="I14" s="42">
        <f t="shared" si="13"/>
        <v>2000000</v>
      </c>
      <c r="J14" s="45">
        <v>30</v>
      </c>
      <c r="K14" s="46">
        <f t="shared" si="0"/>
        <v>2000000.0000000002</v>
      </c>
      <c r="L14" s="47">
        <f t="shared" si="1"/>
        <v>249094.99999999997</v>
      </c>
      <c r="M14" s="46">
        <v>0</v>
      </c>
      <c r="N14" s="46">
        <v>0</v>
      </c>
      <c r="O14" s="46">
        <f t="shared" si="2"/>
        <v>2249095</v>
      </c>
      <c r="P14" s="47">
        <v>0</v>
      </c>
      <c r="Q14" s="47">
        <v>50000</v>
      </c>
      <c r="R14" s="48">
        <f t="shared" si="3"/>
        <v>30</v>
      </c>
      <c r="S14" s="46">
        <f t="shared" si="4"/>
        <v>2000000</v>
      </c>
      <c r="T14" s="49">
        <f t="shared" si="14"/>
        <v>0</v>
      </c>
      <c r="U14" s="49">
        <f>CEILING((S14)*12%,100)+CEILING((S14)*10%,100)</f>
        <v>440000</v>
      </c>
      <c r="V14" s="49">
        <f>CEILING((S14)*6.96%,100)</f>
        <v>139200</v>
      </c>
      <c r="W14" s="49">
        <f t="shared" si="25"/>
        <v>80000</v>
      </c>
      <c r="X14" s="49">
        <f t="shared" si="17"/>
        <v>6666.7199999999993</v>
      </c>
      <c r="Y14" s="49">
        <f t="shared" si="18"/>
        <v>665866.72</v>
      </c>
      <c r="Z14" s="49">
        <f>((O14-L14)*4.1667%)*2</f>
        <v>166667.99999999997</v>
      </c>
      <c r="AA14" s="49">
        <f t="shared" si="19"/>
        <v>187424.5083635</v>
      </c>
      <c r="AB14" s="49">
        <f t="shared" si="20"/>
        <v>187424.5083635</v>
      </c>
      <c r="AC14" s="49">
        <f t="shared" si="21"/>
        <v>22490.95</v>
      </c>
      <c r="AD14" s="50">
        <f t="shared" si="22"/>
        <v>564007.96672699996</v>
      </c>
      <c r="AE14" s="51">
        <f t="shared" si="5"/>
        <v>0</v>
      </c>
      <c r="AF14" s="52">
        <v>0</v>
      </c>
      <c r="AG14" s="53">
        <f t="shared" si="23"/>
        <v>3528970</v>
      </c>
      <c r="AH14" s="53">
        <f t="shared" si="6"/>
        <v>49405580</v>
      </c>
      <c r="AI14" s="50">
        <v>0</v>
      </c>
      <c r="AJ14" s="50">
        <f t="shared" si="7"/>
        <v>0</v>
      </c>
      <c r="AK14" s="50">
        <f t="shared" si="8"/>
        <v>3528970</v>
      </c>
      <c r="AL14" s="50">
        <f t="shared" si="9"/>
        <v>0</v>
      </c>
      <c r="AM14" s="50">
        <f t="shared" si="10"/>
        <v>3528970</v>
      </c>
      <c r="AN14" s="50">
        <f t="shared" si="11"/>
        <v>49405580</v>
      </c>
      <c r="AO14" s="54">
        <f t="shared" si="12"/>
        <v>247027900</v>
      </c>
      <c r="AQ14" s="15">
        <f t="shared" si="24"/>
        <v>296433480</v>
      </c>
      <c r="AR14" s="55"/>
    </row>
    <row r="15" spans="2:44" ht="15" customHeight="1" outlineLevel="2" x14ac:dyDescent="0.25">
      <c r="B15" s="42"/>
      <c r="C15" s="41"/>
      <c r="D15" s="56"/>
      <c r="E15" s="42">
        <v>2000000</v>
      </c>
      <c r="F15" s="42" t="s">
        <v>47</v>
      </c>
      <c r="G15" s="43">
        <v>5</v>
      </c>
      <c r="H15" s="44" t="s">
        <v>52</v>
      </c>
      <c r="I15" s="42">
        <f t="shared" si="13"/>
        <v>2000000</v>
      </c>
      <c r="J15" s="45">
        <v>30</v>
      </c>
      <c r="K15" s="46">
        <f t="shared" si="0"/>
        <v>2000000.0000000002</v>
      </c>
      <c r="L15" s="47">
        <f t="shared" si="1"/>
        <v>249094.99999999997</v>
      </c>
      <c r="M15" s="46">
        <v>0</v>
      </c>
      <c r="N15" s="46">
        <v>0</v>
      </c>
      <c r="O15" s="46">
        <f t="shared" si="2"/>
        <v>2249095</v>
      </c>
      <c r="P15" s="47">
        <v>0</v>
      </c>
      <c r="Q15" s="47">
        <v>50000</v>
      </c>
      <c r="R15" s="48">
        <f t="shared" si="3"/>
        <v>30</v>
      </c>
      <c r="S15" s="46">
        <f t="shared" si="4"/>
        <v>2000000</v>
      </c>
      <c r="T15" s="49">
        <f t="shared" si="14"/>
        <v>0</v>
      </c>
      <c r="U15" s="49">
        <f t="shared" si="15"/>
        <v>240000</v>
      </c>
      <c r="V15" s="49">
        <f>CEILING((S15)*2.436%,100)</f>
        <v>48800</v>
      </c>
      <c r="W15" s="49">
        <f t="shared" si="25"/>
        <v>80000</v>
      </c>
      <c r="X15" s="49">
        <f t="shared" si="17"/>
        <v>3333.3599999999997</v>
      </c>
      <c r="Y15" s="49">
        <f t="shared" si="18"/>
        <v>372133.36</v>
      </c>
      <c r="Z15" s="49">
        <f t="shared" ref="Z15:Z40" si="26">(O15-L15)*4.1667%</f>
        <v>83333.999999999985</v>
      </c>
      <c r="AA15" s="49">
        <f t="shared" si="19"/>
        <v>187424.5083635</v>
      </c>
      <c r="AB15" s="49">
        <f t="shared" si="20"/>
        <v>187424.5083635</v>
      </c>
      <c r="AC15" s="49">
        <f t="shared" si="21"/>
        <v>22490.95</v>
      </c>
      <c r="AD15" s="50">
        <f t="shared" si="22"/>
        <v>480673.96672700002</v>
      </c>
      <c r="AE15" s="51">
        <f t="shared" si="5"/>
        <v>0</v>
      </c>
      <c r="AF15" s="52">
        <v>0</v>
      </c>
      <c r="AG15" s="53">
        <f t="shared" si="23"/>
        <v>3151902</v>
      </c>
      <c r="AH15" s="53">
        <f t="shared" si="6"/>
        <v>15759510</v>
      </c>
      <c r="AI15" s="50">
        <v>0</v>
      </c>
      <c r="AJ15" s="50">
        <f t="shared" si="7"/>
        <v>0</v>
      </c>
      <c r="AK15" s="50">
        <f t="shared" si="8"/>
        <v>3151902</v>
      </c>
      <c r="AL15" s="50">
        <f t="shared" si="9"/>
        <v>0</v>
      </c>
      <c r="AM15" s="50">
        <f t="shared" si="10"/>
        <v>3151902</v>
      </c>
      <c r="AN15" s="50">
        <f t="shared" si="11"/>
        <v>15759510</v>
      </c>
      <c r="AO15" s="54">
        <f t="shared" si="12"/>
        <v>78797550</v>
      </c>
      <c r="AQ15" s="15">
        <f t="shared" si="24"/>
        <v>94557060</v>
      </c>
      <c r="AR15" s="55"/>
    </row>
    <row r="16" spans="2:44" ht="15" customHeight="1" outlineLevel="2" x14ac:dyDescent="0.25">
      <c r="B16" s="42">
        <v>1625192</v>
      </c>
      <c r="C16" s="41">
        <f>+E16/B16-1</f>
        <v>0.23062382783080393</v>
      </c>
      <c r="D16" s="56">
        <f>+B16*C16</f>
        <v>374807.99999999988</v>
      </c>
      <c r="E16" s="42">
        <v>2000000</v>
      </c>
      <c r="F16" s="42" t="s">
        <v>47</v>
      </c>
      <c r="G16" s="43">
        <v>15</v>
      </c>
      <c r="H16" s="44" t="s">
        <v>53</v>
      </c>
      <c r="I16" s="42">
        <f t="shared" si="13"/>
        <v>2000000</v>
      </c>
      <c r="J16" s="45">
        <v>30</v>
      </c>
      <c r="K16" s="46">
        <f t="shared" si="0"/>
        <v>2000000.0000000002</v>
      </c>
      <c r="L16" s="47">
        <f t="shared" si="1"/>
        <v>249094.99999999997</v>
      </c>
      <c r="M16" s="46">
        <v>0</v>
      </c>
      <c r="N16" s="46">
        <v>0</v>
      </c>
      <c r="O16" s="46">
        <f t="shared" si="2"/>
        <v>2249095</v>
      </c>
      <c r="P16" s="47">
        <v>0</v>
      </c>
      <c r="Q16" s="47">
        <v>50000</v>
      </c>
      <c r="R16" s="48">
        <f t="shared" si="3"/>
        <v>30</v>
      </c>
      <c r="S16" s="46">
        <f t="shared" si="4"/>
        <v>2000000</v>
      </c>
      <c r="T16" s="49">
        <f t="shared" si="14"/>
        <v>0</v>
      </c>
      <c r="U16" s="49">
        <f t="shared" si="15"/>
        <v>240000</v>
      </c>
      <c r="V16" s="49">
        <f>CEILING((S16)*2.436%,100)</f>
        <v>48800</v>
      </c>
      <c r="W16" s="49">
        <f t="shared" si="25"/>
        <v>80000</v>
      </c>
      <c r="X16" s="49">
        <f t="shared" si="17"/>
        <v>3333.3599999999997</v>
      </c>
      <c r="Y16" s="49">
        <f t="shared" si="18"/>
        <v>372133.36</v>
      </c>
      <c r="Z16" s="49">
        <f t="shared" si="26"/>
        <v>83333.999999999985</v>
      </c>
      <c r="AA16" s="49">
        <f t="shared" si="19"/>
        <v>187424.5083635</v>
      </c>
      <c r="AB16" s="49">
        <f t="shared" si="20"/>
        <v>187424.5083635</v>
      </c>
      <c r="AC16" s="49">
        <f t="shared" si="21"/>
        <v>22490.95</v>
      </c>
      <c r="AD16" s="50">
        <f t="shared" si="22"/>
        <v>480673.96672700002</v>
      </c>
      <c r="AE16" s="51">
        <f t="shared" si="5"/>
        <v>0</v>
      </c>
      <c r="AF16" s="52">
        <v>0</v>
      </c>
      <c r="AG16" s="53">
        <f t="shared" si="23"/>
        <v>3151902</v>
      </c>
      <c r="AH16" s="53">
        <f t="shared" si="6"/>
        <v>47278530</v>
      </c>
      <c r="AI16" s="50">
        <v>0</v>
      </c>
      <c r="AJ16" s="50">
        <f t="shared" si="7"/>
        <v>0</v>
      </c>
      <c r="AK16" s="50">
        <f t="shared" si="8"/>
        <v>3151902</v>
      </c>
      <c r="AL16" s="50">
        <f t="shared" si="9"/>
        <v>0</v>
      </c>
      <c r="AM16" s="50">
        <f t="shared" si="10"/>
        <v>3151902</v>
      </c>
      <c r="AN16" s="50">
        <f t="shared" si="11"/>
        <v>47278530</v>
      </c>
      <c r="AO16" s="54">
        <f t="shared" si="12"/>
        <v>236392650</v>
      </c>
      <c r="AQ16" s="15">
        <f t="shared" si="24"/>
        <v>283671180</v>
      </c>
      <c r="AR16" s="55"/>
    </row>
    <row r="17" spans="2:44" ht="15" customHeight="1" outlineLevel="2" x14ac:dyDescent="0.25">
      <c r="B17" s="42">
        <v>3253055</v>
      </c>
      <c r="C17" s="41">
        <v>4.4999999999999998E-2</v>
      </c>
      <c r="D17" s="56">
        <f t="shared" ref="D17:D76" si="27">+B17*C17</f>
        <v>146387.47500000001</v>
      </c>
      <c r="E17" s="42">
        <f t="shared" ref="E17:E76" si="28">ROUND(B17+D17,0)</f>
        <v>3399442</v>
      </c>
      <c r="F17" s="42" t="s">
        <v>47</v>
      </c>
      <c r="G17" s="43">
        <v>19</v>
      </c>
      <c r="H17" s="44" t="s">
        <v>54</v>
      </c>
      <c r="I17" s="42">
        <f t="shared" si="13"/>
        <v>3399442</v>
      </c>
      <c r="J17" s="45">
        <v>30</v>
      </c>
      <c r="K17" s="46">
        <f t="shared" si="0"/>
        <v>3399442</v>
      </c>
      <c r="L17" s="47">
        <f t="shared" si="1"/>
        <v>249094.99999999997</v>
      </c>
      <c r="M17" s="46">
        <v>0</v>
      </c>
      <c r="N17" s="46">
        <v>0</v>
      </c>
      <c r="O17" s="46">
        <f t="shared" si="2"/>
        <v>3648537</v>
      </c>
      <c r="P17" s="47">
        <v>0</v>
      </c>
      <c r="Q17" s="47">
        <v>80000</v>
      </c>
      <c r="R17" s="48">
        <f t="shared" si="3"/>
        <v>30</v>
      </c>
      <c r="S17" s="46">
        <f t="shared" si="4"/>
        <v>3399442</v>
      </c>
      <c r="T17" s="49">
        <f t="shared" si="14"/>
        <v>0</v>
      </c>
      <c r="U17" s="49">
        <f t="shared" si="15"/>
        <v>408000</v>
      </c>
      <c r="V17" s="49">
        <f>CEILING((S17)*2.436%,100)</f>
        <v>82900</v>
      </c>
      <c r="W17" s="49">
        <f t="shared" si="25"/>
        <v>136000</v>
      </c>
      <c r="X17" s="49">
        <f t="shared" si="17"/>
        <v>5665.7819925599997</v>
      </c>
      <c r="Y17" s="49">
        <f t="shared" si="18"/>
        <v>632565.78199256002</v>
      </c>
      <c r="Z17" s="49">
        <f t="shared" si="26"/>
        <v>141644.549814</v>
      </c>
      <c r="AA17" s="49">
        <f t="shared" si="19"/>
        <v>304044.62838210003</v>
      </c>
      <c r="AB17" s="49">
        <f t="shared" si="20"/>
        <v>304044.62838210003</v>
      </c>
      <c r="AC17" s="49">
        <f t="shared" si="21"/>
        <v>36485.370000000003</v>
      </c>
      <c r="AD17" s="50">
        <f t="shared" si="22"/>
        <v>786219.17657820007</v>
      </c>
      <c r="AE17" s="51">
        <f t="shared" si="5"/>
        <v>0</v>
      </c>
      <c r="AF17" s="52">
        <v>0</v>
      </c>
      <c r="AG17" s="53">
        <f t="shared" si="23"/>
        <v>5147322</v>
      </c>
      <c r="AH17" s="53">
        <f t="shared" si="6"/>
        <v>97799118</v>
      </c>
      <c r="AI17" s="50">
        <v>0</v>
      </c>
      <c r="AJ17" s="50">
        <f t="shared" si="7"/>
        <v>0</v>
      </c>
      <c r="AK17" s="50">
        <f t="shared" si="8"/>
        <v>5147322</v>
      </c>
      <c r="AL17" s="50">
        <f t="shared" si="9"/>
        <v>0</v>
      </c>
      <c r="AM17" s="50">
        <f t="shared" si="10"/>
        <v>5147322</v>
      </c>
      <c r="AN17" s="50">
        <f t="shared" si="11"/>
        <v>97799118</v>
      </c>
      <c r="AO17" s="54">
        <f t="shared" si="12"/>
        <v>488995590</v>
      </c>
      <c r="AQ17" s="15">
        <f t="shared" si="24"/>
        <v>586794708</v>
      </c>
      <c r="AR17" s="55"/>
    </row>
    <row r="18" spans="2:44" ht="15" customHeight="1" outlineLevel="2" x14ac:dyDescent="0.25">
      <c r="B18" s="42">
        <v>3800000</v>
      </c>
      <c r="C18" s="41">
        <v>4.4999999999999998E-2</v>
      </c>
      <c r="D18" s="56">
        <f t="shared" si="27"/>
        <v>171000</v>
      </c>
      <c r="E18" s="42">
        <f t="shared" si="28"/>
        <v>3971000</v>
      </c>
      <c r="F18" s="42" t="s">
        <v>47</v>
      </c>
      <c r="G18" s="43">
        <v>1</v>
      </c>
      <c r="H18" s="44" t="s">
        <v>55</v>
      </c>
      <c r="I18" s="42">
        <f t="shared" si="13"/>
        <v>3971000</v>
      </c>
      <c r="J18" s="45">
        <v>30</v>
      </c>
      <c r="K18" s="46">
        <f t="shared" si="0"/>
        <v>3970999.9999999995</v>
      </c>
      <c r="L18" s="47">
        <f t="shared" si="1"/>
        <v>0</v>
      </c>
      <c r="M18" s="46">
        <v>0</v>
      </c>
      <c r="N18" s="46">
        <v>0</v>
      </c>
      <c r="O18" s="46">
        <f t="shared" si="2"/>
        <v>3970999.9999999995</v>
      </c>
      <c r="P18" s="47">
        <v>0</v>
      </c>
      <c r="Q18" s="47">
        <v>80000</v>
      </c>
      <c r="R18" s="48">
        <f t="shared" si="3"/>
        <v>30</v>
      </c>
      <c r="S18" s="46">
        <f t="shared" si="4"/>
        <v>3970999.9999999995</v>
      </c>
      <c r="T18" s="49">
        <f t="shared" si="14"/>
        <v>0</v>
      </c>
      <c r="U18" s="49">
        <f t="shared" si="15"/>
        <v>476600</v>
      </c>
      <c r="V18" s="49">
        <f>CEILING((S18)*2.436%,100)</f>
        <v>96800</v>
      </c>
      <c r="W18" s="49">
        <f t="shared" si="25"/>
        <v>158900</v>
      </c>
      <c r="X18" s="49">
        <f t="shared" si="17"/>
        <v>6618.3862799999988</v>
      </c>
      <c r="Y18" s="49">
        <f t="shared" si="18"/>
        <v>738918.38627999998</v>
      </c>
      <c r="Z18" s="49">
        <f t="shared" si="26"/>
        <v>165459.65699999998</v>
      </c>
      <c r="AA18" s="49">
        <f t="shared" si="19"/>
        <v>330916.53429999994</v>
      </c>
      <c r="AB18" s="49">
        <f t="shared" si="20"/>
        <v>330916.53429999994</v>
      </c>
      <c r="AC18" s="49">
        <f t="shared" si="21"/>
        <v>39709.999999999993</v>
      </c>
      <c r="AD18" s="50">
        <f t="shared" si="22"/>
        <v>867002.72559999989</v>
      </c>
      <c r="AE18" s="51">
        <f t="shared" si="5"/>
        <v>0</v>
      </c>
      <c r="AF18" s="52">
        <v>0</v>
      </c>
      <c r="AG18" s="53">
        <f t="shared" si="23"/>
        <v>5656921</v>
      </c>
      <c r="AH18" s="53">
        <f t="shared" si="6"/>
        <v>5656921</v>
      </c>
      <c r="AI18" s="50">
        <v>0</v>
      </c>
      <c r="AJ18" s="50">
        <f t="shared" si="7"/>
        <v>0</v>
      </c>
      <c r="AK18" s="50">
        <f t="shared" si="8"/>
        <v>5656921</v>
      </c>
      <c r="AL18" s="50">
        <f t="shared" si="9"/>
        <v>0</v>
      </c>
      <c r="AM18" s="50">
        <f t="shared" si="10"/>
        <v>5656921</v>
      </c>
      <c r="AN18" s="50">
        <f t="shared" si="11"/>
        <v>5656921</v>
      </c>
      <c r="AO18" s="54">
        <f t="shared" si="12"/>
        <v>28284605</v>
      </c>
      <c r="AQ18" s="15">
        <f t="shared" si="24"/>
        <v>33941526</v>
      </c>
      <c r="AR18" s="55"/>
    </row>
    <row r="19" spans="2:44" ht="15" customHeight="1" outlineLevel="2" x14ac:dyDescent="0.25">
      <c r="B19" s="42">
        <v>1896518</v>
      </c>
      <c r="C19" s="41">
        <f>+E19/B19-1</f>
        <v>5.4564206614437616E-2</v>
      </c>
      <c r="D19" s="56">
        <f t="shared" si="27"/>
        <v>103482</v>
      </c>
      <c r="E19" s="42">
        <v>2000000</v>
      </c>
      <c r="F19" s="42" t="s">
        <v>47</v>
      </c>
      <c r="G19" s="43">
        <v>8</v>
      </c>
      <c r="H19" s="44" t="s">
        <v>56</v>
      </c>
      <c r="I19" s="42">
        <v>2000000</v>
      </c>
      <c r="J19" s="45">
        <v>30</v>
      </c>
      <c r="K19" s="46">
        <f t="shared" si="0"/>
        <v>2000000.0000000002</v>
      </c>
      <c r="L19" s="47">
        <f t="shared" si="1"/>
        <v>249094.99999999997</v>
      </c>
      <c r="M19" s="46">
        <v>0</v>
      </c>
      <c r="N19" s="46">
        <v>0</v>
      </c>
      <c r="O19" s="46">
        <f t="shared" si="2"/>
        <v>2249095</v>
      </c>
      <c r="P19" s="47">
        <v>0</v>
      </c>
      <c r="Q19" s="47">
        <v>50000</v>
      </c>
      <c r="R19" s="48">
        <f t="shared" si="3"/>
        <v>30</v>
      </c>
      <c r="S19" s="46">
        <f t="shared" si="4"/>
        <v>2000000</v>
      </c>
      <c r="T19" s="49">
        <f t="shared" si="14"/>
        <v>0</v>
      </c>
      <c r="U19" s="49">
        <f t="shared" si="15"/>
        <v>240000</v>
      </c>
      <c r="V19" s="49">
        <f>CEILING((S19)*4.35%,100)</f>
        <v>87000</v>
      </c>
      <c r="W19" s="49">
        <f t="shared" si="25"/>
        <v>80000</v>
      </c>
      <c r="X19" s="49">
        <f t="shared" si="17"/>
        <v>3333.3599999999997</v>
      </c>
      <c r="Y19" s="49">
        <f t="shared" si="18"/>
        <v>410333.36</v>
      </c>
      <c r="Z19" s="49">
        <f t="shared" si="26"/>
        <v>83333.999999999985</v>
      </c>
      <c r="AA19" s="49">
        <f t="shared" si="19"/>
        <v>187424.5083635</v>
      </c>
      <c r="AB19" s="49">
        <f t="shared" si="20"/>
        <v>187424.5083635</v>
      </c>
      <c r="AC19" s="49">
        <f t="shared" si="21"/>
        <v>22490.95</v>
      </c>
      <c r="AD19" s="50">
        <f t="shared" si="22"/>
        <v>480673.96672700002</v>
      </c>
      <c r="AE19" s="51">
        <f t="shared" si="5"/>
        <v>0</v>
      </c>
      <c r="AF19" s="52">
        <v>0</v>
      </c>
      <c r="AG19" s="53">
        <f t="shared" si="23"/>
        <v>3190102</v>
      </c>
      <c r="AH19" s="53">
        <f t="shared" si="6"/>
        <v>25520816</v>
      </c>
      <c r="AI19" s="50">
        <v>0</v>
      </c>
      <c r="AJ19" s="50">
        <f t="shared" si="7"/>
        <v>0</v>
      </c>
      <c r="AK19" s="50">
        <f t="shared" si="8"/>
        <v>3190102</v>
      </c>
      <c r="AL19" s="50">
        <f t="shared" si="9"/>
        <v>0</v>
      </c>
      <c r="AM19" s="50">
        <f t="shared" si="10"/>
        <v>3190102</v>
      </c>
      <c r="AN19" s="50">
        <f t="shared" si="11"/>
        <v>25520816</v>
      </c>
      <c r="AO19" s="54">
        <f t="shared" si="12"/>
        <v>127604080</v>
      </c>
      <c r="AQ19" s="15">
        <f t="shared" si="24"/>
        <v>153124896</v>
      </c>
      <c r="AR19" s="55"/>
    </row>
    <row r="20" spans="2:44" ht="15" customHeight="1" outlineLevel="2" x14ac:dyDescent="0.25">
      <c r="B20" s="42">
        <f>3771387+100000</f>
        <v>3871387</v>
      </c>
      <c r="C20" s="41">
        <f>+E20/B20-1</f>
        <v>7.5830445264190915E-2</v>
      </c>
      <c r="D20" s="56">
        <f>+B20*C20</f>
        <v>293569.00000000029</v>
      </c>
      <c r="E20" s="42">
        <v>4164956</v>
      </c>
      <c r="F20" s="42" t="s">
        <v>47</v>
      </c>
      <c r="G20" s="43">
        <v>1</v>
      </c>
      <c r="H20" s="44" t="s">
        <v>57</v>
      </c>
      <c r="I20" s="42">
        <f>+E20</f>
        <v>4164956</v>
      </c>
      <c r="J20" s="45">
        <v>30</v>
      </c>
      <c r="K20" s="46">
        <f>I20/30*J20</f>
        <v>4164956</v>
      </c>
      <c r="L20" s="47">
        <f t="shared" si="1"/>
        <v>0</v>
      </c>
      <c r="M20" s="46">
        <v>0</v>
      </c>
      <c r="N20" s="46">
        <v>0</v>
      </c>
      <c r="O20" s="46">
        <f t="shared" si="2"/>
        <v>4164956</v>
      </c>
      <c r="P20" s="47">
        <v>0</v>
      </c>
      <c r="Q20" s="47">
        <v>80000</v>
      </c>
      <c r="R20" s="48">
        <f t="shared" si="3"/>
        <v>30</v>
      </c>
      <c r="S20" s="46">
        <f t="shared" si="4"/>
        <v>4164956</v>
      </c>
      <c r="T20" s="49">
        <f>CEILING(IF((O20+Q20)&gt;($E$2*10),S20*8%,0),100)</f>
        <v>0</v>
      </c>
      <c r="U20" s="49">
        <f>CEILING((S20)*12%,100)</f>
        <v>499800</v>
      </c>
      <c r="V20" s="49">
        <f t="shared" ref="V20" si="29">CEILING((S20)*2.436%,100)</f>
        <v>101500</v>
      </c>
      <c r="W20" s="49">
        <f>CEILING((S20)*4%,100)</f>
        <v>166600</v>
      </c>
      <c r="X20" s="49">
        <f t="shared" si="17"/>
        <v>6941.6488660799996</v>
      </c>
      <c r="Y20" s="49">
        <f>SUM(T20:X20)</f>
        <v>774841.64886607998</v>
      </c>
      <c r="Z20" s="49">
        <f t="shared" si="26"/>
        <v>173541.22165199998</v>
      </c>
      <c r="AA20" s="49">
        <f>+O20*8.33333%</f>
        <v>347079.52783480001</v>
      </c>
      <c r="AB20" s="49">
        <f>+O20*8.33333%</f>
        <v>347079.52783480001</v>
      </c>
      <c r="AC20" s="49">
        <f>+O20*1%</f>
        <v>41649.56</v>
      </c>
      <c r="AD20" s="50">
        <f>SUM(Z20:AC20)</f>
        <v>909349.83732159995</v>
      </c>
      <c r="AE20" s="51">
        <f t="shared" si="5"/>
        <v>0</v>
      </c>
      <c r="AF20" s="52">
        <v>0</v>
      </c>
      <c r="AG20" s="53">
        <f t="shared" si="23"/>
        <v>5929147</v>
      </c>
      <c r="AH20" s="53">
        <f t="shared" si="6"/>
        <v>5929147</v>
      </c>
      <c r="AI20" s="50">
        <v>0</v>
      </c>
      <c r="AJ20" s="50">
        <f t="shared" si="7"/>
        <v>0</v>
      </c>
      <c r="AK20" s="50">
        <f>+AG20+AI20</f>
        <v>5929147</v>
      </c>
      <c r="AL20" s="50">
        <f>+AI20*19%</f>
        <v>0</v>
      </c>
      <c r="AM20" s="50">
        <f>ROUND(AK20+AL20,0)</f>
        <v>5929147</v>
      </c>
      <c r="AN20" s="50">
        <f t="shared" si="11"/>
        <v>5929147</v>
      </c>
      <c r="AO20" s="54">
        <f t="shared" si="12"/>
        <v>29645735</v>
      </c>
      <c r="AQ20" s="15">
        <f>+AN20*6</f>
        <v>35574882</v>
      </c>
      <c r="AR20" s="55"/>
    </row>
    <row r="21" spans="2:44" ht="15" customHeight="1" outlineLevel="2" x14ac:dyDescent="0.25">
      <c r="B21" s="42">
        <f>7131150+100000</f>
        <v>7231150</v>
      </c>
      <c r="C21" s="41">
        <f>+E21/B21-1</f>
        <v>0.1063247201344184</v>
      </c>
      <c r="D21" s="56">
        <f t="shared" si="27"/>
        <v>768849.99999999965</v>
      </c>
      <c r="E21" s="42">
        <v>8000000</v>
      </c>
      <c r="F21" s="42" t="s">
        <v>47</v>
      </c>
      <c r="G21" s="43">
        <v>1</v>
      </c>
      <c r="H21" s="44" t="s">
        <v>58</v>
      </c>
      <c r="I21" s="42">
        <f t="shared" si="13"/>
        <v>8000000</v>
      </c>
      <c r="J21" s="45">
        <v>30</v>
      </c>
      <c r="K21" s="46">
        <f t="shared" ref="K21:K44" si="30">I21/30*J21</f>
        <v>8000000.0000000009</v>
      </c>
      <c r="L21" s="47">
        <f t="shared" si="1"/>
        <v>0</v>
      </c>
      <c r="M21" s="46">
        <v>0</v>
      </c>
      <c r="N21" s="46">
        <v>0</v>
      </c>
      <c r="O21" s="46">
        <f t="shared" si="2"/>
        <v>8000000.0000000009</v>
      </c>
      <c r="P21" s="47">
        <v>0</v>
      </c>
      <c r="Q21" s="47">
        <v>80000</v>
      </c>
      <c r="R21" s="48">
        <f t="shared" si="3"/>
        <v>30</v>
      </c>
      <c r="S21" s="46">
        <f t="shared" si="4"/>
        <v>8000000.0000000009</v>
      </c>
      <c r="T21" s="49">
        <f t="shared" ref="T21:T45" si="31">CEILING(IF((O21+Q21)&gt;($E$2*10),S21*8%,0),100)</f>
        <v>0</v>
      </c>
      <c r="U21" s="49">
        <f t="shared" ref="U21:U40" si="32">CEILING((S21)*12%,100)</f>
        <v>960000</v>
      </c>
      <c r="V21" s="49">
        <f>CEILING((S21)*2.436%,100)</f>
        <v>194900</v>
      </c>
      <c r="W21" s="49">
        <f t="shared" ref="W21:W45" si="33">CEILING((S21)*4%,100)</f>
        <v>320000</v>
      </c>
      <c r="X21" s="49">
        <f t="shared" si="17"/>
        <v>13333.44</v>
      </c>
      <c r="Y21" s="49">
        <f t="shared" ref="Y21:Y45" si="34">SUM(T21:X21)</f>
        <v>1488233.44</v>
      </c>
      <c r="Z21" s="49">
        <f t="shared" si="26"/>
        <v>333336</v>
      </c>
      <c r="AA21" s="49">
        <f t="shared" ref="AA21:AA45" si="35">+O21*8.33333%</f>
        <v>666666.4</v>
      </c>
      <c r="AB21" s="49">
        <f t="shared" ref="AB21:AB45" si="36">+O21*8.33333%</f>
        <v>666666.4</v>
      </c>
      <c r="AC21" s="49">
        <f t="shared" ref="AC21:AC45" si="37">+O21*1%</f>
        <v>80000.000000000015</v>
      </c>
      <c r="AD21" s="50">
        <f t="shared" ref="AD21:AD45" si="38">SUM(Z21:AC21)</f>
        <v>1746668.8</v>
      </c>
      <c r="AE21" s="51">
        <f t="shared" si="5"/>
        <v>0</v>
      </c>
      <c r="AF21" s="52">
        <v>0</v>
      </c>
      <c r="AG21" s="53">
        <f t="shared" si="23"/>
        <v>11314902</v>
      </c>
      <c r="AH21" s="53">
        <f t="shared" si="6"/>
        <v>11314902</v>
      </c>
      <c r="AI21" s="50">
        <v>0</v>
      </c>
      <c r="AJ21" s="50">
        <f t="shared" si="7"/>
        <v>0</v>
      </c>
      <c r="AK21" s="50">
        <f t="shared" ref="AK21:AK45" si="39">+AG21+AI21</f>
        <v>11314902</v>
      </c>
      <c r="AL21" s="50">
        <f t="shared" ref="AL21:AL45" si="40">+AI21*19%</f>
        <v>0</v>
      </c>
      <c r="AM21" s="50">
        <f t="shared" ref="AM21:AM45" si="41">ROUND(AK21+AL21,0)</f>
        <v>11314902</v>
      </c>
      <c r="AN21" s="50">
        <f t="shared" si="11"/>
        <v>11314902</v>
      </c>
      <c r="AO21" s="54">
        <f t="shared" si="12"/>
        <v>56574510</v>
      </c>
      <c r="AQ21" s="15">
        <f t="shared" si="24"/>
        <v>67889412</v>
      </c>
      <c r="AR21" s="55"/>
    </row>
    <row r="22" spans="2:44" ht="21.75" customHeight="1" outlineLevel="2" x14ac:dyDescent="0.25">
      <c r="B22" s="42">
        <f>5589000+100000</f>
        <v>5689000</v>
      </c>
      <c r="C22" s="41">
        <v>0.05</v>
      </c>
      <c r="D22" s="56">
        <f t="shared" si="27"/>
        <v>284450</v>
      </c>
      <c r="E22" s="42">
        <f t="shared" si="28"/>
        <v>5973450</v>
      </c>
      <c r="F22" s="42" t="s">
        <v>47</v>
      </c>
      <c r="G22" s="43">
        <v>1</v>
      </c>
      <c r="H22" s="57" t="s">
        <v>59</v>
      </c>
      <c r="I22" s="42">
        <f t="shared" si="13"/>
        <v>5973450</v>
      </c>
      <c r="J22" s="45">
        <v>30</v>
      </c>
      <c r="K22" s="46">
        <f t="shared" si="30"/>
        <v>5973450</v>
      </c>
      <c r="L22" s="47">
        <f t="shared" si="1"/>
        <v>0</v>
      </c>
      <c r="M22" s="46">
        <v>0</v>
      </c>
      <c r="N22" s="46">
        <v>0</v>
      </c>
      <c r="O22" s="46">
        <f t="shared" si="2"/>
        <v>5973450</v>
      </c>
      <c r="P22" s="47">
        <v>0</v>
      </c>
      <c r="Q22" s="47">
        <v>80000</v>
      </c>
      <c r="R22" s="48">
        <f t="shared" si="3"/>
        <v>30</v>
      </c>
      <c r="S22" s="46">
        <f t="shared" si="4"/>
        <v>5973450</v>
      </c>
      <c r="T22" s="49">
        <f t="shared" si="31"/>
        <v>0</v>
      </c>
      <c r="U22" s="49">
        <f t="shared" si="32"/>
        <v>716900</v>
      </c>
      <c r="V22" s="49">
        <f>CEILING((S22)*6.96%,100)</f>
        <v>415800</v>
      </c>
      <c r="W22" s="49">
        <f t="shared" si="33"/>
        <v>239000</v>
      </c>
      <c r="X22" s="49">
        <f t="shared" si="17"/>
        <v>9955.8296460000001</v>
      </c>
      <c r="Y22" s="49">
        <f t="shared" si="34"/>
        <v>1381655.8296459999</v>
      </c>
      <c r="Z22" s="49">
        <f t="shared" si="26"/>
        <v>248895.74114999999</v>
      </c>
      <c r="AA22" s="49">
        <f t="shared" si="35"/>
        <v>497787.30088499998</v>
      </c>
      <c r="AB22" s="49">
        <f t="shared" si="36"/>
        <v>497787.30088499998</v>
      </c>
      <c r="AC22" s="49">
        <f t="shared" si="37"/>
        <v>59734.5</v>
      </c>
      <c r="AD22" s="50">
        <f t="shared" si="38"/>
        <v>1304204.84292</v>
      </c>
      <c r="AE22" s="51">
        <f t="shared" si="5"/>
        <v>0</v>
      </c>
      <c r="AF22" s="52">
        <v>0</v>
      </c>
      <c r="AG22" s="53">
        <f t="shared" si="23"/>
        <v>8739311</v>
      </c>
      <c r="AH22" s="53">
        <f t="shared" si="6"/>
        <v>8739311</v>
      </c>
      <c r="AI22" s="50">
        <v>0</v>
      </c>
      <c r="AJ22" s="50">
        <f t="shared" si="7"/>
        <v>0</v>
      </c>
      <c r="AK22" s="50">
        <f t="shared" si="39"/>
        <v>8739311</v>
      </c>
      <c r="AL22" s="50">
        <f t="shared" si="40"/>
        <v>0</v>
      </c>
      <c r="AM22" s="50">
        <f t="shared" si="41"/>
        <v>8739311</v>
      </c>
      <c r="AN22" s="50">
        <f t="shared" si="11"/>
        <v>8739311</v>
      </c>
      <c r="AO22" s="54">
        <f t="shared" si="12"/>
        <v>43696555</v>
      </c>
      <c r="AQ22" s="15">
        <f t="shared" si="24"/>
        <v>52435866</v>
      </c>
      <c r="AR22" s="55"/>
    </row>
    <row r="23" spans="2:44" ht="15" customHeight="1" outlineLevel="2" x14ac:dyDescent="0.25">
      <c r="B23" s="42">
        <v>9826200</v>
      </c>
      <c r="C23" s="41">
        <f>+E23/B23-1</f>
        <v>8.5707496285440943E-2</v>
      </c>
      <c r="D23" s="56">
        <f t="shared" si="27"/>
        <v>842178.99999999977</v>
      </c>
      <c r="E23" s="42">
        <v>10668379</v>
      </c>
      <c r="F23" s="42" t="s">
        <v>47</v>
      </c>
      <c r="G23" s="43">
        <v>1</v>
      </c>
      <c r="H23" s="44" t="s">
        <v>60</v>
      </c>
      <c r="I23" s="42">
        <f t="shared" si="13"/>
        <v>10668379</v>
      </c>
      <c r="J23" s="45">
        <v>30</v>
      </c>
      <c r="K23" s="46">
        <f t="shared" si="30"/>
        <v>10668379</v>
      </c>
      <c r="L23" s="47">
        <f t="shared" si="1"/>
        <v>0</v>
      </c>
      <c r="M23" s="46">
        <v>0</v>
      </c>
      <c r="N23" s="46">
        <v>0</v>
      </c>
      <c r="O23" s="46">
        <f t="shared" si="2"/>
        <v>10668379</v>
      </c>
      <c r="P23" s="47">
        <v>0</v>
      </c>
      <c r="Q23" s="47">
        <v>80000</v>
      </c>
      <c r="R23" s="48">
        <f t="shared" si="3"/>
        <v>30</v>
      </c>
      <c r="S23" s="46">
        <f t="shared" si="4"/>
        <v>10668379</v>
      </c>
      <c r="T23" s="49">
        <f t="shared" si="31"/>
        <v>0</v>
      </c>
      <c r="U23" s="49">
        <f t="shared" si="32"/>
        <v>1280300</v>
      </c>
      <c r="V23" s="49">
        <f>CEILING((S23)*2.436%,100)</f>
        <v>259900</v>
      </c>
      <c r="W23" s="49">
        <f t="shared" si="33"/>
        <v>426800</v>
      </c>
      <c r="X23" s="49">
        <f t="shared" si="17"/>
        <v>17780.773911719996</v>
      </c>
      <c r="Y23" s="49">
        <f t="shared" si="34"/>
        <v>1984780.7739117199</v>
      </c>
      <c r="Z23" s="49">
        <f t="shared" si="26"/>
        <v>444519.34779299994</v>
      </c>
      <c r="AA23" s="49">
        <f t="shared" si="35"/>
        <v>889031.22772069997</v>
      </c>
      <c r="AB23" s="49">
        <f t="shared" si="36"/>
        <v>889031.22772069997</v>
      </c>
      <c r="AC23" s="49">
        <f t="shared" si="37"/>
        <v>106683.79000000001</v>
      </c>
      <c r="AD23" s="50">
        <f t="shared" si="38"/>
        <v>2329265.5932344003</v>
      </c>
      <c r="AE23" s="51">
        <f t="shared" si="5"/>
        <v>0</v>
      </c>
      <c r="AF23" s="52">
        <v>0</v>
      </c>
      <c r="AG23" s="53">
        <f t="shared" si="23"/>
        <v>15062425</v>
      </c>
      <c r="AH23" s="53">
        <f t="shared" si="6"/>
        <v>15062425</v>
      </c>
      <c r="AI23" s="50">
        <v>0</v>
      </c>
      <c r="AJ23" s="50">
        <f t="shared" si="7"/>
        <v>0</v>
      </c>
      <c r="AK23" s="50">
        <f t="shared" si="39"/>
        <v>15062425</v>
      </c>
      <c r="AL23" s="50">
        <f t="shared" si="40"/>
        <v>0</v>
      </c>
      <c r="AM23" s="50">
        <f t="shared" si="41"/>
        <v>15062425</v>
      </c>
      <c r="AN23" s="50">
        <f t="shared" si="11"/>
        <v>15062425</v>
      </c>
      <c r="AO23" s="54">
        <f t="shared" si="12"/>
        <v>75312125</v>
      </c>
      <c r="AQ23" s="15">
        <f t="shared" si="24"/>
        <v>90374550</v>
      </c>
      <c r="AR23" s="55"/>
    </row>
    <row r="24" spans="2:44" ht="15" customHeight="1" outlineLevel="2" x14ac:dyDescent="0.25">
      <c r="B24" s="42">
        <f>3771387+100000</f>
        <v>3871387</v>
      </c>
      <c r="C24" s="41">
        <f>+E24/B24-1</f>
        <v>7.5830445264190915E-2</v>
      </c>
      <c r="D24" s="56">
        <f>+B24*C24</f>
        <v>293569.00000000029</v>
      </c>
      <c r="E24" s="42">
        <v>4164956</v>
      </c>
      <c r="F24" s="42" t="s">
        <v>47</v>
      </c>
      <c r="G24" s="43">
        <v>3</v>
      </c>
      <c r="H24" s="44" t="s">
        <v>61</v>
      </c>
      <c r="I24" s="42">
        <f t="shared" si="13"/>
        <v>4164956</v>
      </c>
      <c r="J24" s="45">
        <v>30</v>
      </c>
      <c r="K24" s="46">
        <f t="shared" si="30"/>
        <v>4164956</v>
      </c>
      <c r="L24" s="47">
        <f t="shared" si="1"/>
        <v>0</v>
      </c>
      <c r="M24" s="46">
        <v>0</v>
      </c>
      <c r="N24" s="46">
        <v>0</v>
      </c>
      <c r="O24" s="46">
        <f t="shared" si="2"/>
        <v>4164956</v>
      </c>
      <c r="P24" s="47">
        <v>0</v>
      </c>
      <c r="Q24" s="47">
        <v>80000</v>
      </c>
      <c r="R24" s="48">
        <f t="shared" si="3"/>
        <v>30</v>
      </c>
      <c r="S24" s="46">
        <f t="shared" si="4"/>
        <v>4164956</v>
      </c>
      <c r="T24" s="49">
        <f t="shared" si="31"/>
        <v>0</v>
      </c>
      <c r="U24" s="49">
        <f t="shared" si="32"/>
        <v>499800</v>
      </c>
      <c r="V24" s="49">
        <f>CEILING((S24)*2.436%,100)</f>
        <v>101500</v>
      </c>
      <c r="W24" s="49">
        <f t="shared" si="33"/>
        <v>166600</v>
      </c>
      <c r="X24" s="49">
        <f t="shared" si="17"/>
        <v>6941.6488660799996</v>
      </c>
      <c r="Y24" s="49">
        <f t="shared" si="34"/>
        <v>774841.64886607998</v>
      </c>
      <c r="Z24" s="49">
        <f t="shared" si="26"/>
        <v>173541.22165199998</v>
      </c>
      <c r="AA24" s="49">
        <f t="shared" si="35"/>
        <v>347079.52783480001</v>
      </c>
      <c r="AB24" s="49">
        <f t="shared" si="36"/>
        <v>347079.52783480001</v>
      </c>
      <c r="AC24" s="49">
        <f t="shared" si="37"/>
        <v>41649.56</v>
      </c>
      <c r="AD24" s="50">
        <f t="shared" si="38"/>
        <v>909349.83732159995</v>
      </c>
      <c r="AE24" s="51">
        <f t="shared" si="5"/>
        <v>0</v>
      </c>
      <c r="AF24" s="52">
        <v>0</v>
      </c>
      <c r="AG24" s="53">
        <f t="shared" si="23"/>
        <v>5929147</v>
      </c>
      <c r="AH24" s="53">
        <f t="shared" si="6"/>
        <v>17787441</v>
      </c>
      <c r="AI24" s="50">
        <v>0</v>
      </c>
      <c r="AJ24" s="50">
        <f t="shared" si="7"/>
        <v>0</v>
      </c>
      <c r="AK24" s="50">
        <f t="shared" si="39"/>
        <v>5929147</v>
      </c>
      <c r="AL24" s="50">
        <f t="shared" si="40"/>
        <v>0</v>
      </c>
      <c r="AM24" s="50">
        <f t="shared" si="41"/>
        <v>5929147</v>
      </c>
      <c r="AN24" s="50">
        <f t="shared" si="11"/>
        <v>17787441</v>
      </c>
      <c r="AO24" s="54">
        <f t="shared" si="12"/>
        <v>88937205</v>
      </c>
      <c r="AQ24" s="15">
        <f t="shared" si="24"/>
        <v>106724646</v>
      </c>
      <c r="AR24" s="55"/>
    </row>
    <row r="25" spans="2:44" ht="15" customHeight="1" outlineLevel="2" x14ac:dyDescent="0.25">
      <c r="B25" s="42">
        <f>3771387+100000</f>
        <v>3871387</v>
      </c>
      <c r="C25" s="41">
        <f>+E25/B25-1</f>
        <v>0.15132070237359385</v>
      </c>
      <c r="D25" s="56">
        <f t="shared" si="27"/>
        <v>585821.00000000035</v>
      </c>
      <c r="E25" s="42">
        <v>4457208</v>
      </c>
      <c r="F25" s="42" t="s">
        <v>47</v>
      </c>
      <c r="G25" s="43">
        <v>1</v>
      </c>
      <c r="H25" s="44" t="s">
        <v>62</v>
      </c>
      <c r="I25" s="42">
        <f t="shared" si="13"/>
        <v>4457208</v>
      </c>
      <c r="J25" s="45">
        <v>30</v>
      </c>
      <c r="K25" s="46">
        <f t="shared" si="30"/>
        <v>4457208</v>
      </c>
      <c r="L25" s="47">
        <f t="shared" si="1"/>
        <v>0</v>
      </c>
      <c r="M25" s="46">
        <v>0</v>
      </c>
      <c r="N25" s="46">
        <v>0</v>
      </c>
      <c r="O25" s="46">
        <f t="shared" si="2"/>
        <v>4457208</v>
      </c>
      <c r="P25" s="47">
        <v>0</v>
      </c>
      <c r="Q25" s="47">
        <v>80000</v>
      </c>
      <c r="R25" s="48">
        <f t="shared" si="3"/>
        <v>30</v>
      </c>
      <c r="S25" s="46">
        <f t="shared" si="4"/>
        <v>4457208</v>
      </c>
      <c r="T25" s="49">
        <f t="shared" si="31"/>
        <v>0</v>
      </c>
      <c r="U25" s="49">
        <f t="shared" si="32"/>
        <v>534900</v>
      </c>
      <c r="V25" s="49">
        <f t="shared" ref="V25:V32" si="42">CEILING((S25)*2.436%,100)</f>
        <v>108600</v>
      </c>
      <c r="W25" s="49">
        <f t="shared" si="33"/>
        <v>178300</v>
      </c>
      <c r="X25" s="49">
        <f t="shared" si="17"/>
        <v>7428.7394294399992</v>
      </c>
      <c r="Y25" s="49">
        <f t="shared" si="34"/>
        <v>829228.73942944</v>
      </c>
      <c r="Z25" s="49">
        <f t="shared" si="26"/>
        <v>185718.48573599997</v>
      </c>
      <c r="AA25" s="49">
        <f t="shared" si="35"/>
        <v>371433.85142640001</v>
      </c>
      <c r="AB25" s="49">
        <f t="shared" si="36"/>
        <v>371433.85142640001</v>
      </c>
      <c r="AC25" s="49">
        <f t="shared" si="37"/>
        <v>44572.08</v>
      </c>
      <c r="AD25" s="50">
        <f t="shared" si="38"/>
        <v>973158.26858879998</v>
      </c>
      <c r="AE25" s="51">
        <f t="shared" si="5"/>
        <v>0</v>
      </c>
      <c r="AF25" s="52">
        <v>0</v>
      </c>
      <c r="AG25" s="53">
        <f t="shared" si="23"/>
        <v>6339595</v>
      </c>
      <c r="AH25" s="53">
        <f t="shared" si="6"/>
        <v>6339595</v>
      </c>
      <c r="AI25" s="50">
        <v>0</v>
      </c>
      <c r="AJ25" s="50">
        <f t="shared" si="7"/>
        <v>0</v>
      </c>
      <c r="AK25" s="50">
        <f t="shared" si="39"/>
        <v>6339595</v>
      </c>
      <c r="AL25" s="50">
        <f t="shared" si="40"/>
        <v>0</v>
      </c>
      <c r="AM25" s="50">
        <f t="shared" si="41"/>
        <v>6339595</v>
      </c>
      <c r="AN25" s="50">
        <f t="shared" si="11"/>
        <v>6339595</v>
      </c>
      <c r="AO25" s="54">
        <f t="shared" si="12"/>
        <v>31697975</v>
      </c>
      <c r="AQ25" s="15">
        <f t="shared" si="24"/>
        <v>38037570</v>
      </c>
      <c r="AR25" s="55"/>
    </row>
    <row r="26" spans="2:44" ht="15" customHeight="1" outlineLevel="2" x14ac:dyDescent="0.25">
      <c r="B26" s="42">
        <f>3771387+100000</f>
        <v>3871387</v>
      </c>
      <c r="C26" s="41">
        <f>+E26/B26-1</f>
        <v>7.5830445264190915E-2</v>
      </c>
      <c r="D26" s="56">
        <f t="shared" si="27"/>
        <v>293569.00000000029</v>
      </c>
      <c r="E26" s="42">
        <v>4164956</v>
      </c>
      <c r="F26" s="42" t="s">
        <v>47</v>
      </c>
      <c r="G26" s="43">
        <v>1</v>
      </c>
      <c r="H26" s="44" t="s">
        <v>63</v>
      </c>
      <c r="I26" s="42">
        <f t="shared" si="13"/>
        <v>4164956</v>
      </c>
      <c r="J26" s="45">
        <v>30</v>
      </c>
      <c r="K26" s="46">
        <f t="shared" si="30"/>
        <v>4164956</v>
      </c>
      <c r="L26" s="47">
        <f t="shared" si="1"/>
        <v>0</v>
      </c>
      <c r="M26" s="46">
        <v>0</v>
      </c>
      <c r="N26" s="46">
        <v>0</v>
      </c>
      <c r="O26" s="46">
        <f t="shared" si="2"/>
        <v>4164956</v>
      </c>
      <c r="P26" s="47">
        <v>0</v>
      </c>
      <c r="Q26" s="47">
        <v>80000</v>
      </c>
      <c r="R26" s="48">
        <f t="shared" si="3"/>
        <v>30</v>
      </c>
      <c r="S26" s="46">
        <f t="shared" si="4"/>
        <v>4164956</v>
      </c>
      <c r="T26" s="49">
        <f t="shared" si="31"/>
        <v>0</v>
      </c>
      <c r="U26" s="49">
        <f t="shared" si="32"/>
        <v>499800</v>
      </c>
      <c r="V26" s="49">
        <f t="shared" si="42"/>
        <v>101500</v>
      </c>
      <c r="W26" s="49">
        <f t="shared" si="33"/>
        <v>166600</v>
      </c>
      <c r="X26" s="49">
        <f t="shared" si="17"/>
        <v>6941.6488660799996</v>
      </c>
      <c r="Y26" s="49">
        <f t="shared" si="34"/>
        <v>774841.64886607998</v>
      </c>
      <c r="Z26" s="49">
        <f t="shared" si="26"/>
        <v>173541.22165199998</v>
      </c>
      <c r="AA26" s="49">
        <f t="shared" si="35"/>
        <v>347079.52783480001</v>
      </c>
      <c r="AB26" s="49">
        <f t="shared" si="36"/>
        <v>347079.52783480001</v>
      </c>
      <c r="AC26" s="49">
        <f t="shared" si="37"/>
        <v>41649.56</v>
      </c>
      <c r="AD26" s="50">
        <f t="shared" si="38"/>
        <v>909349.83732159995</v>
      </c>
      <c r="AE26" s="51">
        <f t="shared" si="5"/>
        <v>0</v>
      </c>
      <c r="AF26" s="52">
        <v>0</v>
      </c>
      <c r="AG26" s="53">
        <f t="shared" si="23"/>
        <v>5929147</v>
      </c>
      <c r="AH26" s="53">
        <f t="shared" si="6"/>
        <v>5929147</v>
      </c>
      <c r="AI26" s="50">
        <v>0</v>
      </c>
      <c r="AJ26" s="50">
        <f t="shared" si="7"/>
        <v>0</v>
      </c>
      <c r="AK26" s="50">
        <f t="shared" si="39"/>
        <v>5929147</v>
      </c>
      <c r="AL26" s="50">
        <f t="shared" si="40"/>
        <v>0</v>
      </c>
      <c r="AM26" s="50">
        <f t="shared" si="41"/>
        <v>5929147</v>
      </c>
      <c r="AN26" s="50">
        <f t="shared" si="11"/>
        <v>5929147</v>
      </c>
      <c r="AO26" s="54">
        <f t="shared" si="12"/>
        <v>29645735</v>
      </c>
      <c r="AQ26" s="15">
        <f t="shared" si="24"/>
        <v>35574882</v>
      </c>
      <c r="AR26" s="55"/>
    </row>
    <row r="27" spans="2:44" ht="15" customHeight="1" outlineLevel="2" x14ac:dyDescent="0.25">
      <c r="B27" s="42">
        <f>3771387+100000</f>
        <v>3871387</v>
      </c>
      <c r="C27" s="41">
        <f>+E27/B27-1</f>
        <v>7.5830445264190915E-2</v>
      </c>
      <c r="D27" s="56">
        <f t="shared" si="27"/>
        <v>293569.00000000029</v>
      </c>
      <c r="E27" s="42">
        <v>4164956</v>
      </c>
      <c r="F27" s="42" t="s">
        <v>47</v>
      </c>
      <c r="G27" s="43">
        <v>1</v>
      </c>
      <c r="H27" s="44" t="s">
        <v>64</v>
      </c>
      <c r="I27" s="42">
        <f t="shared" si="13"/>
        <v>4164956</v>
      </c>
      <c r="J27" s="45">
        <v>30</v>
      </c>
      <c r="K27" s="46">
        <f t="shared" si="30"/>
        <v>4164956</v>
      </c>
      <c r="L27" s="47">
        <f t="shared" si="1"/>
        <v>0</v>
      </c>
      <c r="M27" s="46">
        <v>0</v>
      </c>
      <c r="N27" s="46">
        <v>0</v>
      </c>
      <c r="O27" s="46">
        <f t="shared" si="2"/>
        <v>4164956</v>
      </c>
      <c r="P27" s="47">
        <v>0</v>
      </c>
      <c r="Q27" s="47">
        <v>80000</v>
      </c>
      <c r="R27" s="48">
        <f t="shared" si="3"/>
        <v>30</v>
      </c>
      <c r="S27" s="46">
        <f t="shared" si="4"/>
        <v>4164956</v>
      </c>
      <c r="T27" s="49">
        <f t="shared" si="31"/>
        <v>0</v>
      </c>
      <c r="U27" s="49">
        <f t="shared" si="32"/>
        <v>499800</v>
      </c>
      <c r="V27" s="49">
        <f t="shared" si="42"/>
        <v>101500</v>
      </c>
      <c r="W27" s="49">
        <f t="shared" si="33"/>
        <v>166600</v>
      </c>
      <c r="X27" s="49">
        <f t="shared" si="17"/>
        <v>6941.6488660799996</v>
      </c>
      <c r="Y27" s="49">
        <f t="shared" si="34"/>
        <v>774841.64886607998</v>
      </c>
      <c r="Z27" s="49">
        <f t="shared" si="26"/>
        <v>173541.22165199998</v>
      </c>
      <c r="AA27" s="49">
        <f t="shared" si="35"/>
        <v>347079.52783480001</v>
      </c>
      <c r="AB27" s="49">
        <f t="shared" si="36"/>
        <v>347079.52783480001</v>
      </c>
      <c r="AC27" s="49">
        <f t="shared" si="37"/>
        <v>41649.56</v>
      </c>
      <c r="AD27" s="50">
        <f t="shared" si="38"/>
        <v>909349.83732159995</v>
      </c>
      <c r="AE27" s="51">
        <f t="shared" si="5"/>
        <v>0</v>
      </c>
      <c r="AF27" s="52">
        <v>0</v>
      </c>
      <c r="AG27" s="53">
        <f t="shared" si="23"/>
        <v>5929147</v>
      </c>
      <c r="AH27" s="53">
        <f t="shared" si="6"/>
        <v>5929147</v>
      </c>
      <c r="AI27" s="50">
        <v>0</v>
      </c>
      <c r="AJ27" s="50">
        <f t="shared" si="7"/>
        <v>0</v>
      </c>
      <c r="AK27" s="50">
        <f t="shared" si="39"/>
        <v>5929147</v>
      </c>
      <c r="AL27" s="50">
        <f t="shared" si="40"/>
        <v>0</v>
      </c>
      <c r="AM27" s="50">
        <f t="shared" si="41"/>
        <v>5929147</v>
      </c>
      <c r="AN27" s="50">
        <f t="shared" si="11"/>
        <v>5929147</v>
      </c>
      <c r="AO27" s="54">
        <f t="shared" si="12"/>
        <v>29645735</v>
      </c>
      <c r="AQ27" s="15">
        <f t="shared" si="24"/>
        <v>35574882</v>
      </c>
      <c r="AR27" s="55"/>
    </row>
    <row r="28" spans="2:44" ht="15" customHeight="1" outlineLevel="2" x14ac:dyDescent="0.25">
      <c r="B28" s="42">
        <f>7448257+1000000</f>
        <v>8448257</v>
      </c>
      <c r="C28" s="41">
        <v>4.4999999999999998E-2</v>
      </c>
      <c r="D28" s="56">
        <f t="shared" si="27"/>
        <v>380171.565</v>
      </c>
      <c r="E28" s="42">
        <f t="shared" si="28"/>
        <v>8828429</v>
      </c>
      <c r="F28" s="42" t="s">
        <v>47</v>
      </c>
      <c r="G28" s="43">
        <v>1</v>
      </c>
      <c r="H28" s="44" t="s">
        <v>65</v>
      </c>
      <c r="I28" s="42">
        <f t="shared" si="13"/>
        <v>8828429</v>
      </c>
      <c r="J28" s="45">
        <v>30</v>
      </c>
      <c r="K28" s="46">
        <f t="shared" si="30"/>
        <v>8828429</v>
      </c>
      <c r="L28" s="47">
        <f t="shared" si="1"/>
        <v>0</v>
      </c>
      <c r="M28" s="46">
        <v>0</v>
      </c>
      <c r="N28" s="46">
        <v>0</v>
      </c>
      <c r="O28" s="46">
        <f t="shared" si="2"/>
        <v>8828429</v>
      </c>
      <c r="P28" s="47">
        <v>0</v>
      </c>
      <c r="Q28" s="47">
        <v>80000</v>
      </c>
      <c r="R28" s="48">
        <f t="shared" si="3"/>
        <v>30</v>
      </c>
      <c r="S28" s="46">
        <f t="shared" si="4"/>
        <v>8828429</v>
      </c>
      <c r="T28" s="49">
        <f t="shared" si="31"/>
        <v>0</v>
      </c>
      <c r="U28" s="49">
        <f t="shared" si="32"/>
        <v>1059500</v>
      </c>
      <c r="V28" s="49">
        <f t="shared" si="42"/>
        <v>215100</v>
      </c>
      <c r="W28" s="49">
        <f t="shared" si="33"/>
        <v>353200</v>
      </c>
      <c r="X28" s="49">
        <f t="shared" si="17"/>
        <v>14714.166045719998</v>
      </c>
      <c r="Y28" s="49">
        <f t="shared" si="34"/>
        <v>1642514.16604572</v>
      </c>
      <c r="Z28" s="49">
        <f t="shared" si="26"/>
        <v>367854.15114299994</v>
      </c>
      <c r="AA28" s="49">
        <f t="shared" si="35"/>
        <v>735702.1223857</v>
      </c>
      <c r="AB28" s="49">
        <f t="shared" si="36"/>
        <v>735702.1223857</v>
      </c>
      <c r="AC28" s="49">
        <f t="shared" si="37"/>
        <v>88284.290000000008</v>
      </c>
      <c r="AD28" s="50">
        <f t="shared" si="38"/>
        <v>1927542.6859144</v>
      </c>
      <c r="AE28" s="51">
        <f t="shared" si="5"/>
        <v>0</v>
      </c>
      <c r="AF28" s="52">
        <v>0</v>
      </c>
      <c r="AG28" s="53">
        <f t="shared" si="23"/>
        <v>12478486</v>
      </c>
      <c r="AH28" s="53">
        <f t="shared" si="6"/>
        <v>12478486</v>
      </c>
      <c r="AI28" s="50">
        <v>0</v>
      </c>
      <c r="AJ28" s="50">
        <f t="shared" si="7"/>
        <v>0</v>
      </c>
      <c r="AK28" s="50">
        <f t="shared" si="39"/>
        <v>12478486</v>
      </c>
      <c r="AL28" s="50">
        <f t="shared" si="40"/>
        <v>0</v>
      </c>
      <c r="AM28" s="50">
        <f t="shared" si="41"/>
        <v>12478486</v>
      </c>
      <c r="AN28" s="50">
        <f t="shared" si="11"/>
        <v>12478486</v>
      </c>
      <c r="AO28" s="54">
        <f t="shared" si="12"/>
        <v>62392430</v>
      </c>
      <c r="AQ28" s="15">
        <f t="shared" si="24"/>
        <v>74870916</v>
      </c>
      <c r="AR28" s="55"/>
    </row>
    <row r="29" spans="2:44" ht="15" customHeight="1" outlineLevel="2" x14ac:dyDescent="0.25">
      <c r="B29" s="42"/>
      <c r="C29" s="41"/>
      <c r="D29" s="56">
        <f t="shared" si="27"/>
        <v>0</v>
      </c>
      <c r="E29" s="42">
        <v>5099588</v>
      </c>
      <c r="F29" s="42" t="s">
        <v>47</v>
      </c>
      <c r="G29" s="43">
        <v>1</v>
      </c>
      <c r="H29" s="44" t="s">
        <v>66</v>
      </c>
      <c r="I29" s="42">
        <f t="shared" si="13"/>
        <v>5099588</v>
      </c>
      <c r="J29" s="45">
        <v>30</v>
      </c>
      <c r="K29" s="46">
        <f t="shared" si="30"/>
        <v>5099588</v>
      </c>
      <c r="L29" s="47">
        <f t="shared" si="1"/>
        <v>0</v>
      </c>
      <c r="M29" s="46">
        <v>0</v>
      </c>
      <c r="N29" s="46">
        <v>0</v>
      </c>
      <c r="O29" s="46">
        <f t="shared" si="2"/>
        <v>5099588</v>
      </c>
      <c r="P29" s="47">
        <v>0</v>
      </c>
      <c r="Q29" s="47">
        <v>80000</v>
      </c>
      <c r="R29" s="48">
        <f t="shared" si="3"/>
        <v>30</v>
      </c>
      <c r="S29" s="46">
        <f t="shared" si="4"/>
        <v>5099588</v>
      </c>
      <c r="T29" s="49">
        <f t="shared" si="31"/>
        <v>0</v>
      </c>
      <c r="U29" s="49">
        <f t="shared" si="32"/>
        <v>612000</v>
      </c>
      <c r="V29" s="49">
        <f t="shared" si="42"/>
        <v>124300</v>
      </c>
      <c r="W29" s="49">
        <f t="shared" si="33"/>
        <v>204000</v>
      </c>
      <c r="X29" s="49">
        <f t="shared" si="17"/>
        <v>8499.3813278399994</v>
      </c>
      <c r="Y29" s="49">
        <f t="shared" si="34"/>
        <v>948799.38132784003</v>
      </c>
      <c r="Z29" s="49">
        <f t="shared" si="26"/>
        <v>212484.53319599997</v>
      </c>
      <c r="AA29" s="49">
        <f t="shared" si="35"/>
        <v>424965.49668039999</v>
      </c>
      <c r="AB29" s="49">
        <f t="shared" si="36"/>
        <v>424965.49668039999</v>
      </c>
      <c r="AC29" s="49">
        <f t="shared" si="37"/>
        <v>50995.880000000005</v>
      </c>
      <c r="AD29" s="50">
        <f t="shared" si="38"/>
        <v>1113411.4065568</v>
      </c>
      <c r="AE29" s="51">
        <f t="shared" si="5"/>
        <v>0</v>
      </c>
      <c r="AF29" s="52">
        <v>0</v>
      </c>
      <c r="AG29" s="53">
        <f t="shared" si="23"/>
        <v>7241799</v>
      </c>
      <c r="AH29" s="53">
        <f t="shared" si="6"/>
        <v>7241799</v>
      </c>
      <c r="AI29" s="50">
        <v>0</v>
      </c>
      <c r="AJ29" s="50">
        <f t="shared" si="7"/>
        <v>0</v>
      </c>
      <c r="AK29" s="50">
        <f t="shared" si="39"/>
        <v>7241799</v>
      </c>
      <c r="AL29" s="50">
        <f t="shared" si="40"/>
        <v>0</v>
      </c>
      <c r="AM29" s="50">
        <f t="shared" si="41"/>
        <v>7241799</v>
      </c>
      <c r="AN29" s="50">
        <f t="shared" si="11"/>
        <v>7241799</v>
      </c>
      <c r="AO29" s="54">
        <f t="shared" si="12"/>
        <v>36208995</v>
      </c>
      <c r="AQ29" s="15">
        <f t="shared" si="24"/>
        <v>43450794</v>
      </c>
      <c r="AR29" s="55"/>
    </row>
    <row r="30" spans="2:44" ht="15" customHeight="1" outlineLevel="2" x14ac:dyDescent="0.25">
      <c r="B30" s="42">
        <v>4713670</v>
      </c>
      <c r="C30" s="41">
        <f>+E30/B30-1</f>
        <v>0.13321594426423577</v>
      </c>
      <c r="D30" s="56">
        <f t="shared" si="27"/>
        <v>627936.00000000023</v>
      </c>
      <c r="E30" s="42">
        <v>5341606</v>
      </c>
      <c r="F30" s="42" t="s">
        <v>47</v>
      </c>
      <c r="G30" s="43">
        <v>1</v>
      </c>
      <c r="H30" s="44" t="s">
        <v>67</v>
      </c>
      <c r="I30" s="42">
        <f t="shared" si="13"/>
        <v>5341606</v>
      </c>
      <c r="J30" s="45">
        <v>30</v>
      </c>
      <c r="K30" s="46">
        <f t="shared" si="30"/>
        <v>5341606</v>
      </c>
      <c r="L30" s="47">
        <f t="shared" si="1"/>
        <v>0</v>
      </c>
      <c r="M30" s="46">
        <v>0</v>
      </c>
      <c r="N30" s="46">
        <v>0</v>
      </c>
      <c r="O30" s="46">
        <f t="shared" si="2"/>
        <v>5341606</v>
      </c>
      <c r="P30" s="47">
        <v>0</v>
      </c>
      <c r="Q30" s="47">
        <v>80000</v>
      </c>
      <c r="R30" s="48">
        <f t="shared" si="3"/>
        <v>30</v>
      </c>
      <c r="S30" s="46">
        <f t="shared" si="4"/>
        <v>5341606</v>
      </c>
      <c r="T30" s="49">
        <f t="shared" si="31"/>
        <v>0</v>
      </c>
      <c r="U30" s="49">
        <f t="shared" si="32"/>
        <v>641000</v>
      </c>
      <c r="V30" s="49">
        <f t="shared" si="42"/>
        <v>130200</v>
      </c>
      <c r="W30" s="49">
        <f t="shared" si="33"/>
        <v>213700</v>
      </c>
      <c r="X30" s="49">
        <f t="shared" si="17"/>
        <v>8902.747888079999</v>
      </c>
      <c r="Y30" s="49">
        <f t="shared" si="34"/>
        <v>993802.74788807996</v>
      </c>
      <c r="Z30" s="49">
        <f t="shared" si="26"/>
        <v>222568.69720199998</v>
      </c>
      <c r="AA30" s="49">
        <f t="shared" si="35"/>
        <v>445133.6552798</v>
      </c>
      <c r="AB30" s="49">
        <f t="shared" si="36"/>
        <v>445133.6552798</v>
      </c>
      <c r="AC30" s="49">
        <f t="shared" si="37"/>
        <v>53416.06</v>
      </c>
      <c r="AD30" s="50">
        <f t="shared" si="38"/>
        <v>1166252.0677616</v>
      </c>
      <c r="AE30" s="51">
        <f t="shared" si="5"/>
        <v>0</v>
      </c>
      <c r="AF30" s="52">
        <v>0</v>
      </c>
      <c r="AG30" s="53">
        <f t="shared" si="23"/>
        <v>7581661</v>
      </c>
      <c r="AH30" s="53">
        <f t="shared" si="6"/>
        <v>7581661</v>
      </c>
      <c r="AI30" s="50">
        <v>0</v>
      </c>
      <c r="AJ30" s="50">
        <f t="shared" si="7"/>
        <v>0</v>
      </c>
      <c r="AK30" s="50">
        <f t="shared" si="39"/>
        <v>7581661</v>
      </c>
      <c r="AL30" s="50">
        <f t="shared" si="40"/>
        <v>0</v>
      </c>
      <c r="AM30" s="50">
        <f t="shared" si="41"/>
        <v>7581661</v>
      </c>
      <c r="AN30" s="50">
        <f t="shared" si="11"/>
        <v>7581661</v>
      </c>
      <c r="AO30" s="54">
        <f t="shared" si="12"/>
        <v>37908305</v>
      </c>
      <c r="AQ30" s="15">
        <f t="shared" si="24"/>
        <v>45489966</v>
      </c>
      <c r="AR30" s="55"/>
    </row>
    <row r="31" spans="2:44" ht="15" customHeight="1" outlineLevel="2" x14ac:dyDescent="0.25">
      <c r="B31" s="42">
        <f>3771387+100000</f>
        <v>3871387</v>
      </c>
      <c r="C31" s="41">
        <f>+E31/B31-1</f>
        <v>7.5830445264190915E-2</v>
      </c>
      <c r="D31" s="56">
        <f t="shared" si="27"/>
        <v>293569.00000000029</v>
      </c>
      <c r="E31" s="42">
        <v>4164956</v>
      </c>
      <c r="F31" s="42" t="s">
        <v>47</v>
      </c>
      <c r="G31" s="43">
        <v>1</v>
      </c>
      <c r="H31" s="44" t="s">
        <v>68</v>
      </c>
      <c r="I31" s="42">
        <f t="shared" si="13"/>
        <v>4164956</v>
      </c>
      <c r="J31" s="45">
        <v>30</v>
      </c>
      <c r="K31" s="46">
        <f t="shared" si="30"/>
        <v>4164956</v>
      </c>
      <c r="L31" s="47">
        <f t="shared" si="1"/>
        <v>0</v>
      </c>
      <c r="M31" s="46">
        <v>0</v>
      </c>
      <c r="N31" s="46">
        <v>0</v>
      </c>
      <c r="O31" s="46">
        <f t="shared" si="2"/>
        <v>4164956</v>
      </c>
      <c r="P31" s="47">
        <v>0</v>
      </c>
      <c r="Q31" s="47">
        <v>80000</v>
      </c>
      <c r="R31" s="48">
        <f t="shared" si="3"/>
        <v>30</v>
      </c>
      <c r="S31" s="46">
        <f t="shared" si="4"/>
        <v>4164956</v>
      </c>
      <c r="T31" s="49">
        <f t="shared" si="31"/>
        <v>0</v>
      </c>
      <c r="U31" s="49">
        <f t="shared" si="32"/>
        <v>499800</v>
      </c>
      <c r="V31" s="49">
        <f t="shared" si="42"/>
        <v>101500</v>
      </c>
      <c r="W31" s="49">
        <f t="shared" si="33"/>
        <v>166600</v>
      </c>
      <c r="X31" s="49">
        <f t="shared" si="17"/>
        <v>6941.6488660799996</v>
      </c>
      <c r="Y31" s="49">
        <f t="shared" si="34"/>
        <v>774841.64886607998</v>
      </c>
      <c r="Z31" s="49">
        <f t="shared" si="26"/>
        <v>173541.22165199998</v>
      </c>
      <c r="AA31" s="49">
        <f t="shared" si="35"/>
        <v>347079.52783480001</v>
      </c>
      <c r="AB31" s="49">
        <f t="shared" si="36"/>
        <v>347079.52783480001</v>
      </c>
      <c r="AC31" s="49">
        <f t="shared" si="37"/>
        <v>41649.56</v>
      </c>
      <c r="AD31" s="50">
        <f t="shared" si="38"/>
        <v>909349.83732159995</v>
      </c>
      <c r="AE31" s="51">
        <f t="shared" si="5"/>
        <v>0</v>
      </c>
      <c r="AF31" s="52">
        <v>0</v>
      </c>
      <c r="AG31" s="53">
        <f t="shared" si="23"/>
        <v>5929147</v>
      </c>
      <c r="AH31" s="53">
        <f t="shared" si="6"/>
        <v>5929147</v>
      </c>
      <c r="AI31" s="50">
        <v>0</v>
      </c>
      <c r="AJ31" s="50">
        <f t="shared" si="7"/>
        <v>0</v>
      </c>
      <c r="AK31" s="50">
        <f t="shared" si="39"/>
        <v>5929147</v>
      </c>
      <c r="AL31" s="50">
        <f t="shared" si="40"/>
        <v>0</v>
      </c>
      <c r="AM31" s="50">
        <f t="shared" si="41"/>
        <v>5929147</v>
      </c>
      <c r="AN31" s="50">
        <f t="shared" si="11"/>
        <v>5929147</v>
      </c>
      <c r="AO31" s="54">
        <f t="shared" si="12"/>
        <v>29645735</v>
      </c>
      <c r="AQ31" s="15">
        <f t="shared" si="24"/>
        <v>35574882</v>
      </c>
      <c r="AR31" s="55"/>
    </row>
    <row r="32" spans="2:44" ht="15" customHeight="1" outlineLevel="2" x14ac:dyDescent="0.25">
      <c r="B32" s="42">
        <v>5589000</v>
      </c>
      <c r="C32" s="41">
        <v>4.4999999999999998E-2</v>
      </c>
      <c r="D32" s="56">
        <f t="shared" si="27"/>
        <v>251505</v>
      </c>
      <c r="E32" s="42">
        <f t="shared" si="28"/>
        <v>5840505</v>
      </c>
      <c r="F32" s="42" t="s">
        <v>47</v>
      </c>
      <c r="G32" s="43">
        <v>1</v>
      </c>
      <c r="H32" s="44" t="s">
        <v>69</v>
      </c>
      <c r="I32" s="42">
        <f t="shared" si="13"/>
        <v>5840505</v>
      </c>
      <c r="J32" s="45">
        <v>30</v>
      </c>
      <c r="K32" s="46">
        <f t="shared" si="30"/>
        <v>5840505</v>
      </c>
      <c r="L32" s="47">
        <f t="shared" si="1"/>
        <v>0</v>
      </c>
      <c r="M32" s="46">
        <v>0</v>
      </c>
      <c r="N32" s="46">
        <v>0</v>
      </c>
      <c r="O32" s="46">
        <f t="shared" si="2"/>
        <v>5840505</v>
      </c>
      <c r="P32" s="47">
        <v>0</v>
      </c>
      <c r="Q32" s="47">
        <v>80000</v>
      </c>
      <c r="R32" s="48">
        <f t="shared" si="3"/>
        <v>30</v>
      </c>
      <c r="S32" s="46">
        <f t="shared" si="4"/>
        <v>5840505</v>
      </c>
      <c r="T32" s="49">
        <f t="shared" si="31"/>
        <v>0</v>
      </c>
      <c r="U32" s="49">
        <f t="shared" si="32"/>
        <v>700900</v>
      </c>
      <c r="V32" s="49">
        <f t="shared" si="42"/>
        <v>142300</v>
      </c>
      <c r="W32" s="49">
        <f t="shared" si="33"/>
        <v>233700</v>
      </c>
      <c r="X32" s="49">
        <f t="shared" si="17"/>
        <v>9734.2528733999989</v>
      </c>
      <c r="Y32" s="49">
        <f t="shared" si="34"/>
        <v>1086634.2528734</v>
      </c>
      <c r="Z32" s="49">
        <f t="shared" si="26"/>
        <v>243356.32183499998</v>
      </c>
      <c r="AA32" s="49">
        <f t="shared" si="35"/>
        <v>486708.55531650002</v>
      </c>
      <c r="AB32" s="49">
        <f t="shared" si="36"/>
        <v>486708.55531650002</v>
      </c>
      <c r="AC32" s="49">
        <f t="shared" si="37"/>
        <v>58405.05</v>
      </c>
      <c r="AD32" s="50">
        <f t="shared" si="38"/>
        <v>1275178.4824679999</v>
      </c>
      <c r="AE32" s="51">
        <f t="shared" si="5"/>
        <v>0</v>
      </c>
      <c r="AF32" s="52">
        <v>0</v>
      </c>
      <c r="AG32" s="53">
        <f t="shared" si="23"/>
        <v>8282318</v>
      </c>
      <c r="AH32" s="53">
        <f t="shared" si="6"/>
        <v>8282318</v>
      </c>
      <c r="AI32" s="50">
        <v>0</v>
      </c>
      <c r="AJ32" s="50">
        <f t="shared" si="7"/>
        <v>0</v>
      </c>
      <c r="AK32" s="50">
        <f t="shared" si="39"/>
        <v>8282318</v>
      </c>
      <c r="AL32" s="50">
        <f t="shared" si="40"/>
        <v>0</v>
      </c>
      <c r="AM32" s="50">
        <f t="shared" si="41"/>
        <v>8282318</v>
      </c>
      <c r="AN32" s="50">
        <f t="shared" si="11"/>
        <v>8282318</v>
      </c>
      <c r="AO32" s="54">
        <f t="shared" si="12"/>
        <v>41411590</v>
      </c>
      <c r="AQ32" s="15">
        <f t="shared" si="24"/>
        <v>49693908</v>
      </c>
      <c r="AR32" s="55"/>
    </row>
    <row r="33" spans="2:44" ht="15" customHeight="1" outlineLevel="2" x14ac:dyDescent="0.25">
      <c r="B33" s="42">
        <f>5589000+1000000</f>
        <v>6589000</v>
      </c>
      <c r="C33" s="41">
        <v>4.4999999999999998E-2</v>
      </c>
      <c r="D33" s="56">
        <f t="shared" si="27"/>
        <v>296505</v>
      </c>
      <c r="E33" s="42">
        <f t="shared" si="28"/>
        <v>6885505</v>
      </c>
      <c r="F33" s="42" t="s">
        <v>47</v>
      </c>
      <c r="G33" s="43">
        <v>1</v>
      </c>
      <c r="H33" s="44" t="s">
        <v>70</v>
      </c>
      <c r="I33" s="42">
        <f t="shared" si="13"/>
        <v>6885505</v>
      </c>
      <c r="J33" s="45">
        <v>30</v>
      </c>
      <c r="K33" s="46">
        <f t="shared" si="30"/>
        <v>6885505</v>
      </c>
      <c r="L33" s="47">
        <f t="shared" si="1"/>
        <v>0</v>
      </c>
      <c r="M33" s="46">
        <v>0</v>
      </c>
      <c r="N33" s="46">
        <v>0</v>
      </c>
      <c r="O33" s="46">
        <f t="shared" si="2"/>
        <v>6885505</v>
      </c>
      <c r="P33" s="47">
        <v>0</v>
      </c>
      <c r="Q33" s="47">
        <v>80000</v>
      </c>
      <c r="R33" s="48">
        <f t="shared" si="3"/>
        <v>30</v>
      </c>
      <c r="S33" s="46">
        <f t="shared" si="4"/>
        <v>6885505</v>
      </c>
      <c r="T33" s="49">
        <f t="shared" si="31"/>
        <v>0</v>
      </c>
      <c r="U33" s="49">
        <f t="shared" si="32"/>
        <v>826300</v>
      </c>
      <c r="V33" s="49">
        <f>CEILING((S33)*2.436%,100)</f>
        <v>167800</v>
      </c>
      <c r="W33" s="49">
        <f t="shared" si="33"/>
        <v>275500</v>
      </c>
      <c r="X33" s="49">
        <f t="shared" si="17"/>
        <v>11475.933473399999</v>
      </c>
      <c r="Y33" s="49">
        <f t="shared" si="34"/>
        <v>1281075.9334734001</v>
      </c>
      <c r="Z33" s="49">
        <f t="shared" si="26"/>
        <v>286898.33683499997</v>
      </c>
      <c r="AA33" s="49">
        <f t="shared" si="35"/>
        <v>573791.85381650005</v>
      </c>
      <c r="AB33" s="49">
        <f t="shared" si="36"/>
        <v>573791.85381650005</v>
      </c>
      <c r="AC33" s="49">
        <f t="shared" si="37"/>
        <v>68855.05</v>
      </c>
      <c r="AD33" s="50">
        <f t="shared" si="38"/>
        <v>1503337.0944680001</v>
      </c>
      <c r="AE33" s="51">
        <f t="shared" si="5"/>
        <v>0</v>
      </c>
      <c r="AF33" s="52">
        <v>0</v>
      </c>
      <c r="AG33" s="53">
        <f t="shared" si="23"/>
        <v>9749918</v>
      </c>
      <c r="AH33" s="53">
        <f t="shared" si="6"/>
        <v>9749918</v>
      </c>
      <c r="AI33" s="50">
        <v>0</v>
      </c>
      <c r="AJ33" s="50">
        <f t="shared" si="7"/>
        <v>0</v>
      </c>
      <c r="AK33" s="50">
        <f t="shared" si="39"/>
        <v>9749918</v>
      </c>
      <c r="AL33" s="50">
        <f t="shared" si="40"/>
        <v>0</v>
      </c>
      <c r="AM33" s="50">
        <f t="shared" si="41"/>
        <v>9749918</v>
      </c>
      <c r="AN33" s="50">
        <f t="shared" si="11"/>
        <v>9749918</v>
      </c>
      <c r="AO33" s="54">
        <f t="shared" si="12"/>
        <v>48749590</v>
      </c>
      <c r="AQ33" s="15">
        <f t="shared" si="24"/>
        <v>58499508</v>
      </c>
      <c r="AR33" s="55"/>
    </row>
    <row r="34" spans="2:44" ht="15" customHeight="1" outlineLevel="2" x14ac:dyDescent="0.25">
      <c r="B34" s="42">
        <v>5589000</v>
      </c>
      <c r="C34" s="41">
        <v>4.4999999999999998E-2</v>
      </c>
      <c r="D34" s="56">
        <f t="shared" si="27"/>
        <v>251505</v>
      </c>
      <c r="E34" s="42">
        <f t="shared" si="28"/>
        <v>5840505</v>
      </c>
      <c r="F34" s="42" t="s">
        <v>47</v>
      </c>
      <c r="G34" s="43">
        <v>1</v>
      </c>
      <c r="H34" s="44" t="s">
        <v>71</v>
      </c>
      <c r="I34" s="42">
        <f t="shared" si="13"/>
        <v>5840505</v>
      </c>
      <c r="J34" s="45">
        <v>30</v>
      </c>
      <c r="K34" s="46">
        <f t="shared" si="30"/>
        <v>5840505</v>
      </c>
      <c r="L34" s="47">
        <f t="shared" si="1"/>
        <v>0</v>
      </c>
      <c r="M34" s="46">
        <v>0</v>
      </c>
      <c r="N34" s="46">
        <v>0</v>
      </c>
      <c r="O34" s="46">
        <f t="shared" si="2"/>
        <v>5840505</v>
      </c>
      <c r="P34" s="47">
        <v>0</v>
      </c>
      <c r="Q34" s="47">
        <v>80000</v>
      </c>
      <c r="R34" s="48">
        <f t="shared" si="3"/>
        <v>30</v>
      </c>
      <c r="S34" s="46">
        <f t="shared" si="4"/>
        <v>5840505</v>
      </c>
      <c r="T34" s="49">
        <f t="shared" si="31"/>
        <v>0</v>
      </c>
      <c r="U34" s="49">
        <f t="shared" si="32"/>
        <v>700900</v>
      </c>
      <c r="V34" s="49">
        <f>CEILING((S34)*2.436%,100)</f>
        <v>142300</v>
      </c>
      <c r="W34" s="49">
        <f t="shared" si="33"/>
        <v>233700</v>
      </c>
      <c r="X34" s="49">
        <f t="shared" si="17"/>
        <v>9734.2528733999989</v>
      </c>
      <c r="Y34" s="49">
        <f t="shared" si="34"/>
        <v>1086634.2528734</v>
      </c>
      <c r="Z34" s="49">
        <f t="shared" si="26"/>
        <v>243356.32183499998</v>
      </c>
      <c r="AA34" s="49">
        <f t="shared" si="35"/>
        <v>486708.55531650002</v>
      </c>
      <c r="AB34" s="49">
        <f t="shared" si="36"/>
        <v>486708.55531650002</v>
      </c>
      <c r="AC34" s="49">
        <f t="shared" si="37"/>
        <v>58405.05</v>
      </c>
      <c r="AD34" s="50">
        <f t="shared" si="38"/>
        <v>1275178.4824679999</v>
      </c>
      <c r="AE34" s="51">
        <f t="shared" si="5"/>
        <v>0</v>
      </c>
      <c r="AF34" s="52">
        <v>0</v>
      </c>
      <c r="AG34" s="53">
        <f t="shared" si="23"/>
        <v>8282318</v>
      </c>
      <c r="AH34" s="53">
        <f t="shared" si="6"/>
        <v>8282318</v>
      </c>
      <c r="AI34" s="50">
        <v>0</v>
      </c>
      <c r="AJ34" s="50">
        <f t="shared" si="7"/>
        <v>0</v>
      </c>
      <c r="AK34" s="50">
        <f t="shared" si="39"/>
        <v>8282318</v>
      </c>
      <c r="AL34" s="50">
        <f t="shared" si="40"/>
        <v>0</v>
      </c>
      <c r="AM34" s="50">
        <f t="shared" si="41"/>
        <v>8282318</v>
      </c>
      <c r="AN34" s="50">
        <f t="shared" si="11"/>
        <v>8282318</v>
      </c>
      <c r="AO34" s="54">
        <f t="shared" si="12"/>
        <v>41411590</v>
      </c>
      <c r="AQ34" s="15">
        <f t="shared" si="24"/>
        <v>49693908</v>
      </c>
      <c r="AR34" s="55"/>
    </row>
    <row r="35" spans="2:44" ht="15" customHeight="1" outlineLevel="2" x14ac:dyDescent="0.25">
      <c r="B35" s="42">
        <v>4221597</v>
      </c>
      <c r="C35" s="41">
        <v>4.4999999999999998E-2</v>
      </c>
      <c r="D35" s="56">
        <f>+B35*C35</f>
        <v>189971.86499999999</v>
      </c>
      <c r="E35" s="42">
        <f t="shared" si="28"/>
        <v>4411569</v>
      </c>
      <c r="F35" s="42" t="s">
        <v>47</v>
      </c>
      <c r="G35" s="43">
        <v>1</v>
      </c>
      <c r="H35" s="44" t="s">
        <v>72</v>
      </c>
      <c r="I35" s="42">
        <f>+E35</f>
        <v>4411569</v>
      </c>
      <c r="J35" s="45">
        <v>30</v>
      </c>
      <c r="K35" s="46">
        <f>I35/30*J35</f>
        <v>4411569</v>
      </c>
      <c r="L35" s="47">
        <f t="shared" si="1"/>
        <v>0</v>
      </c>
      <c r="M35" s="46">
        <v>0</v>
      </c>
      <c r="N35" s="46">
        <v>0</v>
      </c>
      <c r="O35" s="46">
        <f t="shared" si="2"/>
        <v>4411569</v>
      </c>
      <c r="P35" s="47">
        <v>0</v>
      </c>
      <c r="Q35" s="47">
        <v>80000</v>
      </c>
      <c r="R35" s="48">
        <f t="shared" si="3"/>
        <v>30</v>
      </c>
      <c r="S35" s="46">
        <f t="shared" si="4"/>
        <v>4411569</v>
      </c>
      <c r="T35" s="49">
        <f>CEILING(IF((O35+Q35)&gt;($E$2*10),S35*8%,0),100)</f>
        <v>0</v>
      </c>
      <c r="U35" s="49">
        <f>CEILING((S35)*12%,100)</f>
        <v>529400</v>
      </c>
      <c r="V35" s="49">
        <f>CEILING((S35)*2.436%,100)</f>
        <v>107500</v>
      </c>
      <c r="W35" s="49">
        <f>CEILING((S35)*4%,100)</f>
        <v>176500</v>
      </c>
      <c r="X35" s="49">
        <f t="shared" si="17"/>
        <v>7352.6738209199984</v>
      </c>
      <c r="Y35" s="49">
        <f>SUM(T35:X35)</f>
        <v>820752.67382092006</v>
      </c>
      <c r="Z35" s="49">
        <f t="shared" si="26"/>
        <v>183816.84552299997</v>
      </c>
      <c r="AA35" s="49">
        <f>+O35*8.33333%</f>
        <v>367630.60294770001</v>
      </c>
      <c r="AB35" s="49">
        <f>+O35*8.33333%</f>
        <v>367630.60294770001</v>
      </c>
      <c r="AC35" s="49">
        <f>+O35*1%</f>
        <v>44115.69</v>
      </c>
      <c r="AD35" s="50">
        <f>SUM(Z35:AC35)</f>
        <v>963193.74141839985</v>
      </c>
      <c r="AE35" s="51">
        <f t="shared" si="5"/>
        <v>0</v>
      </c>
      <c r="AF35" s="52">
        <v>0</v>
      </c>
      <c r="AG35" s="53">
        <f t="shared" si="23"/>
        <v>6275515</v>
      </c>
      <c r="AH35" s="53">
        <f t="shared" si="6"/>
        <v>6275515</v>
      </c>
      <c r="AI35" s="50">
        <v>0</v>
      </c>
      <c r="AJ35" s="50">
        <f t="shared" si="7"/>
        <v>0</v>
      </c>
      <c r="AK35" s="50">
        <f>+AG35+AI35</f>
        <v>6275515</v>
      </c>
      <c r="AL35" s="50">
        <f>+AI35*19%</f>
        <v>0</v>
      </c>
      <c r="AM35" s="50">
        <f>ROUND(AK35+AL35,0)</f>
        <v>6275515</v>
      </c>
      <c r="AN35" s="50">
        <f t="shared" si="11"/>
        <v>6275515</v>
      </c>
      <c r="AO35" s="54">
        <f t="shared" si="12"/>
        <v>31377575</v>
      </c>
      <c r="AQ35" s="15">
        <f>+AN35*6</f>
        <v>37653090</v>
      </c>
      <c r="AR35" s="55"/>
    </row>
    <row r="36" spans="2:44" ht="15" customHeight="1" outlineLevel="2" x14ac:dyDescent="0.25">
      <c r="B36" s="42">
        <v>3268770</v>
      </c>
      <c r="C36" s="41">
        <v>0.05</v>
      </c>
      <c r="D36" s="56">
        <f t="shared" si="27"/>
        <v>163438.5</v>
      </c>
      <c r="E36" s="42">
        <f t="shared" si="28"/>
        <v>3432209</v>
      </c>
      <c r="F36" s="42" t="s">
        <v>47</v>
      </c>
      <c r="G36" s="43">
        <f>298+7</f>
        <v>305</v>
      </c>
      <c r="H36" s="44" t="s">
        <v>73</v>
      </c>
      <c r="I36" s="42">
        <f t="shared" si="13"/>
        <v>3432209</v>
      </c>
      <c r="J36" s="45">
        <v>30</v>
      </c>
      <c r="K36" s="46">
        <f t="shared" ref="K36:K40" si="43">I36/30*J36</f>
        <v>3432209</v>
      </c>
      <c r="L36" s="47">
        <f t="shared" si="1"/>
        <v>249094.99999999997</v>
      </c>
      <c r="M36" s="46">
        <v>0</v>
      </c>
      <c r="N36" s="46">
        <v>0</v>
      </c>
      <c r="O36" s="46">
        <f t="shared" si="2"/>
        <v>3681304</v>
      </c>
      <c r="P36" s="47">
        <v>0</v>
      </c>
      <c r="Q36" s="47">
        <v>80000</v>
      </c>
      <c r="R36" s="48">
        <f t="shared" si="3"/>
        <v>30</v>
      </c>
      <c r="S36" s="46">
        <f t="shared" si="4"/>
        <v>3432209</v>
      </c>
      <c r="T36" s="49">
        <f t="shared" ref="T36:T40" si="44">CEILING(IF((O36+Q36)&gt;($E$2*10),S36*8%,0),100)</f>
        <v>0</v>
      </c>
      <c r="U36" s="49">
        <f t="shared" si="32"/>
        <v>411900</v>
      </c>
      <c r="V36" s="49">
        <f t="shared" ref="V36:V40" si="45">CEILING((S36)*2.436%,100)</f>
        <v>83700</v>
      </c>
      <c r="W36" s="49">
        <f t="shared" ref="W36:W40" si="46">CEILING((S36)*4%,100)</f>
        <v>137300</v>
      </c>
      <c r="X36" s="49">
        <f t="shared" si="17"/>
        <v>5720.3940961199996</v>
      </c>
      <c r="Y36" s="49">
        <f t="shared" ref="Y36:Y40" si="47">SUM(T36:X36)</f>
        <v>638620.39409612003</v>
      </c>
      <c r="Z36" s="49">
        <f t="shared" si="26"/>
        <v>143009.852403</v>
      </c>
      <c r="AA36" s="49">
        <f t="shared" ref="AA36:AA40" si="48">+O36*8.33333%</f>
        <v>306775.21062319999</v>
      </c>
      <c r="AB36" s="49">
        <f t="shared" ref="AB36:AB40" si="49">+O36*8.33333%</f>
        <v>306775.21062319999</v>
      </c>
      <c r="AC36" s="49">
        <f t="shared" ref="AC36:AC40" si="50">+O36*1%</f>
        <v>36813.040000000001</v>
      </c>
      <c r="AD36" s="50">
        <f t="shared" ref="AD36:AD40" si="51">SUM(Z36:AC36)</f>
        <v>793373.31364940002</v>
      </c>
      <c r="AE36" s="51">
        <f t="shared" si="5"/>
        <v>0</v>
      </c>
      <c r="AF36" s="52">
        <v>0</v>
      </c>
      <c r="AG36" s="53">
        <f t="shared" si="23"/>
        <v>5193298</v>
      </c>
      <c r="AH36" s="53">
        <f t="shared" si="6"/>
        <v>1583955890</v>
      </c>
      <c r="AI36" s="50">
        <v>0</v>
      </c>
      <c r="AJ36" s="50">
        <f t="shared" si="7"/>
        <v>0</v>
      </c>
      <c r="AK36" s="50">
        <f t="shared" ref="AK36:AK40" si="52">+AG36+AI36</f>
        <v>5193298</v>
      </c>
      <c r="AL36" s="50">
        <f t="shared" ref="AL36:AL40" si="53">+AI36*19%</f>
        <v>0</v>
      </c>
      <c r="AM36" s="50">
        <f t="shared" ref="AM36:AM40" si="54">ROUND(AK36+AL36,0)</f>
        <v>5193298</v>
      </c>
      <c r="AN36" s="50">
        <f t="shared" si="11"/>
        <v>1583955890</v>
      </c>
      <c r="AO36" s="54">
        <f t="shared" si="12"/>
        <v>7919779450</v>
      </c>
      <c r="AQ36" s="15">
        <f t="shared" si="24"/>
        <v>9503735340</v>
      </c>
      <c r="AR36" s="55"/>
    </row>
    <row r="37" spans="2:44" ht="15" customHeight="1" outlineLevel="2" x14ac:dyDescent="0.25">
      <c r="B37" s="42">
        <v>3268770</v>
      </c>
      <c r="C37" s="41">
        <v>0.17</v>
      </c>
      <c r="D37" s="56">
        <f t="shared" si="27"/>
        <v>555690.9</v>
      </c>
      <c r="E37" s="42">
        <f t="shared" si="28"/>
        <v>3824461</v>
      </c>
      <c r="F37" s="42" t="s">
        <v>47</v>
      </c>
      <c r="G37" s="43">
        <v>17</v>
      </c>
      <c r="H37" s="44" t="s">
        <v>74</v>
      </c>
      <c r="I37" s="42">
        <f t="shared" si="13"/>
        <v>3824461</v>
      </c>
      <c r="J37" s="45">
        <v>30</v>
      </c>
      <c r="K37" s="46">
        <f t="shared" si="43"/>
        <v>3824461</v>
      </c>
      <c r="L37" s="47">
        <f t="shared" si="1"/>
        <v>0</v>
      </c>
      <c r="M37" s="46">
        <v>0</v>
      </c>
      <c r="N37" s="46">
        <v>0</v>
      </c>
      <c r="O37" s="46">
        <f t="shared" si="2"/>
        <v>3824461</v>
      </c>
      <c r="P37" s="47">
        <v>0</v>
      </c>
      <c r="Q37" s="47">
        <v>80000</v>
      </c>
      <c r="R37" s="48">
        <f t="shared" si="3"/>
        <v>30</v>
      </c>
      <c r="S37" s="46">
        <f t="shared" si="4"/>
        <v>3824461</v>
      </c>
      <c r="T37" s="49">
        <f t="shared" si="44"/>
        <v>0</v>
      </c>
      <c r="U37" s="49">
        <f t="shared" si="32"/>
        <v>459000</v>
      </c>
      <c r="V37" s="49">
        <f t="shared" si="45"/>
        <v>93200</v>
      </c>
      <c r="W37" s="49">
        <f t="shared" si="46"/>
        <v>153000</v>
      </c>
      <c r="X37" s="49">
        <f t="shared" si="17"/>
        <v>6374.1526594799989</v>
      </c>
      <c r="Y37" s="49">
        <f t="shared" si="47"/>
        <v>711574.15265947999</v>
      </c>
      <c r="Z37" s="49">
        <f t="shared" si="26"/>
        <v>159353.81648699997</v>
      </c>
      <c r="AA37" s="49">
        <f t="shared" si="48"/>
        <v>318704.95585129998</v>
      </c>
      <c r="AB37" s="49">
        <f t="shared" si="49"/>
        <v>318704.95585129998</v>
      </c>
      <c r="AC37" s="49">
        <f t="shared" si="50"/>
        <v>38244.61</v>
      </c>
      <c r="AD37" s="50">
        <f t="shared" si="51"/>
        <v>835008.33818959992</v>
      </c>
      <c r="AE37" s="51">
        <f t="shared" si="5"/>
        <v>0</v>
      </c>
      <c r="AF37" s="52">
        <v>0</v>
      </c>
      <c r="AG37" s="53">
        <f t="shared" si="23"/>
        <v>5451043</v>
      </c>
      <c r="AH37" s="53">
        <f t="shared" si="6"/>
        <v>92667731</v>
      </c>
      <c r="AI37" s="50">
        <v>0</v>
      </c>
      <c r="AJ37" s="50">
        <f t="shared" si="7"/>
        <v>0</v>
      </c>
      <c r="AK37" s="50">
        <f t="shared" si="52"/>
        <v>5451043</v>
      </c>
      <c r="AL37" s="50">
        <f t="shared" si="53"/>
        <v>0</v>
      </c>
      <c r="AM37" s="50">
        <f t="shared" si="54"/>
        <v>5451043</v>
      </c>
      <c r="AN37" s="50">
        <f t="shared" si="11"/>
        <v>92667731</v>
      </c>
      <c r="AO37" s="54">
        <f t="shared" si="12"/>
        <v>463338655</v>
      </c>
      <c r="AQ37" s="15">
        <f t="shared" si="24"/>
        <v>556006386</v>
      </c>
      <c r="AR37" s="55"/>
    </row>
    <row r="38" spans="2:44" ht="32.1" customHeight="1" outlineLevel="2" x14ac:dyDescent="0.25">
      <c r="B38" s="42">
        <f>3594145+600000</f>
        <v>4194145</v>
      </c>
      <c r="C38" s="41">
        <f>+E38/B38-1</f>
        <v>7.3842702147875139E-2</v>
      </c>
      <c r="D38" s="56">
        <f>+B38*C38</f>
        <v>309706.99999999977</v>
      </c>
      <c r="E38" s="42">
        <v>4503852</v>
      </c>
      <c r="F38" s="42" t="s">
        <v>47</v>
      </c>
      <c r="G38" s="43">
        <v>3</v>
      </c>
      <c r="H38" s="57" t="s">
        <v>75</v>
      </c>
      <c r="I38" s="42">
        <f t="shared" si="13"/>
        <v>4503852</v>
      </c>
      <c r="J38" s="45">
        <v>30</v>
      </c>
      <c r="K38" s="46">
        <f>I38/30*J38</f>
        <v>4503852</v>
      </c>
      <c r="L38" s="47">
        <f t="shared" si="1"/>
        <v>0</v>
      </c>
      <c r="M38" s="46">
        <v>0</v>
      </c>
      <c r="N38" s="46">
        <v>0</v>
      </c>
      <c r="O38" s="46">
        <f t="shared" si="2"/>
        <v>4503852</v>
      </c>
      <c r="P38" s="47">
        <v>0</v>
      </c>
      <c r="Q38" s="47">
        <v>80000</v>
      </c>
      <c r="R38" s="48">
        <f t="shared" si="3"/>
        <v>30</v>
      </c>
      <c r="S38" s="46">
        <f t="shared" si="4"/>
        <v>4503852</v>
      </c>
      <c r="T38" s="49">
        <f>CEILING(IF((O38+Q38)&gt;($E$2*10),S38*8%,0),100)</f>
        <v>0</v>
      </c>
      <c r="U38" s="49">
        <f>CEILING((S38)*12%,100)</f>
        <v>540500</v>
      </c>
      <c r="V38" s="49">
        <f>CEILING((S38)*2.436%,100)</f>
        <v>109800</v>
      </c>
      <c r="W38" s="49">
        <f>CEILING((S38)*4%,100)</f>
        <v>180200</v>
      </c>
      <c r="X38" s="49">
        <f t="shared" si="17"/>
        <v>7506.4800513599985</v>
      </c>
      <c r="Y38" s="49">
        <f>SUM(T38:X38)</f>
        <v>838006.48005135998</v>
      </c>
      <c r="Z38" s="49">
        <f t="shared" si="26"/>
        <v>187662.00128399997</v>
      </c>
      <c r="AA38" s="49">
        <f>+O38*8.33333%</f>
        <v>375320.84987159999</v>
      </c>
      <c r="AB38" s="49">
        <f>+O38*8.33333%</f>
        <v>375320.84987159999</v>
      </c>
      <c r="AC38" s="49">
        <f>+O38*1%</f>
        <v>45038.520000000004</v>
      </c>
      <c r="AD38" s="50">
        <f>SUM(Z38:AC38)</f>
        <v>983342.22102719988</v>
      </c>
      <c r="AE38" s="51">
        <f t="shared" si="5"/>
        <v>0</v>
      </c>
      <c r="AF38" s="52">
        <v>0</v>
      </c>
      <c r="AG38" s="53">
        <f t="shared" si="23"/>
        <v>6405201</v>
      </c>
      <c r="AH38" s="53">
        <f t="shared" si="6"/>
        <v>19215603</v>
      </c>
      <c r="AI38" s="50">
        <v>0</v>
      </c>
      <c r="AJ38" s="50">
        <f t="shared" si="7"/>
        <v>0</v>
      </c>
      <c r="AK38" s="50">
        <f>+AG38+AI38</f>
        <v>6405201</v>
      </c>
      <c r="AL38" s="50">
        <f>+AI38*19%</f>
        <v>0</v>
      </c>
      <c r="AM38" s="50">
        <f>ROUND(AK38+AL38,0)</f>
        <v>6405201</v>
      </c>
      <c r="AN38" s="50">
        <f t="shared" si="11"/>
        <v>19215603</v>
      </c>
      <c r="AO38" s="54">
        <f t="shared" si="12"/>
        <v>96078015</v>
      </c>
      <c r="AQ38" s="15">
        <f>+AN38*6</f>
        <v>115293618</v>
      </c>
      <c r="AR38" s="55"/>
    </row>
    <row r="39" spans="2:44" ht="15" customHeight="1" outlineLevel="2" x14ac:dyDescent="0.25">
      <c r="B39" s="42">
        <v>3594247</v>
      </c>
      <c r="C39" s="41">
        <f>+E39/B39-1</f>
        <v>9.1872929155953909E-2</v>
      </c>
      <c r="D39" s="56">
        <f>+B39*C39</f>
        <v>330213.99999999988</v>
      </c>
      <c r="E39" s="42">
        <f>3824461+100000</f>
        <v>3924461</v>
      </c>
      <c r="F39" s="42" t="s">
        <v>47</v>
      </c>
      <c r="G39" s="43">
        <v>1</v>
      </c>
      <c r="H39" s="44" t="s">
        <v>76</v>
      </c>
      <c r="I39" s="42">
        <f t="shared" si="13"/>
        <v>3924461</v>
      </c>
      <c r="J39" s="45">
        <v>30</v>
      </c>
      <c r="K39" s="46">
        <f t="shared" ref="K39" si="55">I39/30*J39</f>
        <v>3924461</v>
      </c>
      <c r="L39" s="47">
        <f t="shared" si="1"/>
        <v>0</v>
      </c>
      <c r="M39" s="46">
        <v>0</v>
      </c>
      <c r="N39" s="46">
        <v>0</v>
      </c>
      <c r="O39" s="46">
        <f t="shared" si="2"/>
        <v>3924461</v>
      </c>
      <c r="P39" s="47">
        <v>0</v>
      </c>
      <c r="Q39" s="47">
        <v>80000</v>
      </c>
      <c r="R39" s="48">
        <f t="shared" si="3"/>
        <v>30</v>
      </c>
      <c r="S39" s="46">
        <f t="shared" si="4"/>
        <v>3924461</v>
      </c>
      <c r="T39" s="49">
        <f t="shared" ref="T39" si="56">CEILING(IF((O39+Q39)&gt;($E$2*10),S39*8%,0),100)</f>
        <v>0</v>
      </c>
      <c r="U39" s="49">
        <f t="shared" ref="U39" si="57">CEILING((S39)*12%,100)</f>
        <v>471000</v>
      </c>
      <c r="V39" s="49">
        <f t="shared" ref="V39" si="58">CEILING((S39)*2.436%,100)</f>
        <v>95600</v>
      </c>
      <c r="W39" s="49">
        <f t="shared" ref="W39" si="59">CEILING((S39)*4%,100)</f>
        <v>157000</v>
      </c>
      <c r="X39" s="49">
        <f t="shared" si="17"/>
        <v>6540.8206594799994</v>
      </c>
      <c r="Y39" s="49">
        <f t="shared" ref="Y39" si="60">SUM(T39:X39)</f>
        <v>730140.82065948006</v>
      </c>
      <c r="Z39" s="49">
        <f t="shared" si="26"/>
        <v>163520.51648699999</v>
      </c>
      <c r="AA39" s="49">
        <f t="shared" ref="AA39" si="61">+O39*8.33333%</f>
        <v>327038.2858513</v>
      </c>
      <c r="AB39" s="49">
        <f t="shared" ref="AB39" si="62">+O39*8.33333%</f>
        <v>327038.2858513</v>
      </c>
      <c r="AC39" s="49">
        <f t="shared" ref="AC39" si="63">+O39*1%</f>
        <v>39244.61</v>
      </c>
      <c r="AD39" s="50">
        <f t="shared" ref="AD39" si="64">SUM(Z39:AC39)</f>
        <v>856841.69818960002</v>
      </c>
      <c r="AE39" s="51">
        <f t="shared" si="5"/>
        <v>0</v>
      </c>
      <c r="AF39" s="52">
        <v>0</v>
      </c>
      <c r="AG39" s="53">
        <f t="shared" si="23"/>
        <v>5591444</v>
      </c>
      <c r="AH39" s="53">
        <f t="shared" si="6"/>
        <v>5591444</v>
      </c>
      <c r="AI39" s="50">
        <v>0</v>
      </c>
      <c r="AJ39" s="50">
        <f t="shared" si="7"/>
        <v>0</v>
      </c>
      <c r="AK39" s="50">
        <f t="shared" ref="AK39" si="65">+AG39+AI39</f>
        <v>5591444</v>
      </c>
      <c r="AL39" s="50">
        <f t="shared" ref="AL39" si="66">+AI39*19%</f>
        <v>0</v>
      </c>
      <c r="AM39" s="50">
        <f t="shared" ref="AM39" si="67">ROUND(AK39+AL39,0)</f>
        <v>5591444</v>
      </c>
      <c r="AN39" s="50">
        <f t="shared" si="11"/>
        <v>5591444</v>
      </c>
      <c r="AO39" s="54">
        <f t="shared" si="12"/>
        <v>27957220</v>
      </c>
      <c r="AQ39" s="15">
        <f t="shared" ref="AQ39" si="68">+AN39*6</f>
        <v>33548664</v>
      </c>
      <c r="AR39" s="55"/>
    </row>
    <row r="40" spans="2:44" ht="15" customHeight="1" outlineLevel="2" x14ac:dyDescent="0.25">
      <c r="B40" s="42">
        <v>3594247</v>
      </c>
      <c r="C40" s="41">
        <f>+E40/B40-1</f>
        <v>9.1872929155953909E-2</v>
      </c>
      <c r="D40" s="56">
        <f t="shared" si="27"/>
        <v>330213.99999999988</v>
      </c>
      <c r="E40" s="42">
        <f>3824461+100000</f>
        <v>3924461</v>
      </c>
      <c r="F40" s="42" t="s">
        <v>47</v>
      </c>
      <c r="G40" s="43">
        <v>9</v>
      </c>
      <c r="H40" s="44" t="s">
        <v>77</v>
      </c>
      <c r="I40" s="42">
        <f t="shared" si="13"/>
        <v>3924461</v>
      </c>
      <c r="J40" s="45">
        <v>30</v>
      </c>
      <c r="K40" s="46">
        <f t="shared" si="43"/>
        <v>3924461</v>
      </c>
      <c r="L40" s="47">
        <f t="shared" si="1"/>
        <v>0</v>
      </c>
      <c r="M40" s="46">
        <v>0</v>
      </c>
      <c r="N40" s="46">
        <v>0</v>
      </c>
      <c r="O40" s="46">
        <f t="shared" si="2"/>
        <v>3924461</v>
      </c>
      <c r="P40" s="47">
        <v>0</v>
      </c>
      <c r="Q40" s="47">
        <v>80000</v>
      </c>
      <c r="R40" s="48">
        <f t="shared" si="3"/>
        <v>30</v>
      </c>
      <c r="S40" s="46">
        <f t="shared" si="4"/>
        <v>3924461</v>
      </c>
      <c r="T40" s="49">
        <f t="shared" si="44"/>
        <v>0</v>
      </c>
      <c r="U40" s="49">
        <f t="shared" si="32"/>
        <v>471000</v>
      </c>
      <c r="V40" s="49">
        <f t="shared" si="45"/>
        <v>95600</v>
      </c>
      <c r="W40" s="49">
        <f t="shared" si="46"/>
        <v>157000</v>
      </c>
      <c r="X40" s="49">
        <f t="shared" si="17"/>
        <v>6540.8206594799994</v>
      </c>
      <c r="Y40" s="49">
        <f t="shared" si="47"/>
        <v>730140.82065948006</v>
      </c>
      <c r="Z40" s="49">
        <f t="shared" si="26"/>
        <v>163520.51648699999</v>
      </c>
      <c r="AA40" s="49">
        <f t="shared" si="48"/>
        <v>327038.2858513</v>
      </c>
      <c r="AB40" s="49">
        <f t="shared" si="49"/>
        <v>327038.2858513</v>
      </c>
      <c r="AC40" s="49">
        <f t="shared" si="50"/>
        <v>39244.61</v>
      </c>
      <c r="AD40" s="50">
        <f t="shared" si="51"/>
        <v>856841.69818960002</v>
      </c>
      <c r="AE40" s="51">
        <f t="shared" si="5"/>
        <v>0</v>
      </c>
      <c r="AF40" s="52">
        <v>0</v>
      </c>
      <c r="AG40" s="53">
        <f t="shared" si="23"/>
        <v>5591444</v>
      </c>
      <c r="AH40" s="53">
        <f t="shared" si="6"/>
        <v>50322996</v>
      </c>
      <c r="AI40" s="50">
        <v>0</v>
      </c>
      <c r="AJ40" s="50">
        <f t="shared" si="7"/>
        <v>0</v>
      </c>
      <c r="AK40" s="50">
        <f t="shared" si="52"/>
        <v>5591444</v>
      </c>
      <c r="AL40" s="50">
        <f t="shared" si="53"/>
        <v>0</v>
      </c>
      <c r="AM40" s="50">
        <f t="shared" si="54"/>
        <v>5591444</v>
      </c>
      <c r="AN40" s="50">
        <f t="shared" si="11"/>
        <v>50322996</v>
      </c>
      <c r="AO40" s="54">
        <f t="shared" si="12"/>
        <v>251614980</v>
      </c>
      <c r="AQ40" s="15">
        <f t="shared" si="24"/>
        <v>301937976</v>
      </c>
      <c r="AR40" s="55"/>
    </row>
    <row r="41" spans="2:44" ht="15" customHeight="1" outlineLevel="2" x14ac:dyDescent="0.25">
      <c r="B41" s="42">
        <v>3521506</v>
      </c>
      <c r="C41" s="41">
        <v>0.05</v>
      </c>
      <c r="D41" s="56">
        <f>+B41*C41</f>
        <v>176075.30000000002</v>
      </c>
      <c r="E41" s="42">
        <f t="shared" si="28"/>
        <v>3697581</v>
      </c>
      <c r="F41" s="42" t="s">
        <v>47</v>
      </c>
      <c r="G41" s="43">
        <v>2</v>
      </c>
      <c r="H41" s="44" t="s">
        <v>78</v>
      </c>
      <c r="I41" s="42">
        <f t="shared" si="13"/>
        <v>3697581</v>
      </c>
      <c r="J41" s="45">
        <v>30</v>
      </c>
      <c r="K41" s="46">
        <f>I41/30*J41</f>
        <v>3697581</v>
      </c>
      <c r="L41" s="47">
        <f t="shared" si="1"/>
        <v>0</v>
      </c>
      <c r="M41" s="46">
        <v>0</v>
      </c>
      <c r="N41" s="46">
        <v>0</v>
      </c>
      <c r="O41" s="46">
        <f t="shared" si="2"/>
        <v>3697581</v>
      </c>
      <c r="P41" s="47">
        <v>0</v>
      </c>
      <c r="Q41" s="47">
        <v>80000</v>
      </c>
      <c r="R41" s="48">
        <f t="shared" si="3"/>
        <v>30</v>
      </c>
      <c r="S41" s="46">
        <f t="shared" si="4"/>
        <v>3697581</v>
      </c>
      <c r="T41" s="49">
        <f>CEILING(IF((O41+Q41)&gt;($E$2*10),S41*8%,0),100)</f>
        <v>0</v>
      </c>
      <c r="U41" s="49">
        <f>CEILING((S41)*12%,100)+CEILING((S41)*10%,100)</f>
        <v>813600</v>
      </c>
      <c r="V41" s="49">
        <f>CEILING((S41)*6.96%,100)</f>
        <v>257400</v>
      </c>
      <c r="W41" s="49">
        <f>CEILING((S41)*4%,100)</f>
        <v>148000</v>
      </c>
      <c r="X41" s="49">
        <f t="shared" si="17"/>
        <v>12325.368602159999</v>
      </c>
      <c r="Y41" s="49">
        <f>SUM(T41:X41)</f>
        <v>1231325.3686021599</v>
      </c>
      <c r="Z41" s="49">
        <f>((O41-L41)*4.1667%)*2</f>
        <v>308134.21505399997</v>
      </c>
      <c r="AA41" s="49">
        <f>+O41*8.33333%</f>
        <v>308131.62674729998</v>
      </c>
      <c r="AB41" s="49">
        <f>+O41*8.33333%</f>
        <v>308131.62674729998</v>
      </c>
      <c r="AC41" s="49">
        <f>+O41*1%</f>
        <v>36975.81</v>
      </c>
      <c r="AD41" s="50">
        <f>SUM(Z41:AC41)</f>
        <v>961373.27854859992</v>
      </c>
      <c r="AE41" s="51">
        <f t="shared" si="5"/>
        <v>0</v>
      </c>
      <c r="AF41" s="52">
        <v>0</v>
      </c>
      <c r="AG41" s="53">
        <f t="shared" si="23"/>
        <v>5970280</v>
      </c>
      <c r="AH41" s="53">
        <f t="shared" si="6"/>
        <v>11940560</v>
      </c>
      <c r="AI41" s="50">
        <v>0</v>
      </c>
      <c r="AJ41" s="50">
        <f t="shared" si="7"/>
        <v>0</v>
      </c>
      <c r="AK41" s="50">
        <f>+AG41+AI41</f>
        <v>5970280</v>
      </c>
      <c r="AL41" s="50">
        <f>+AI41*19%</f>
        <v>0</v>
      </c>
      <c r="AM41" s="50">
        <f>ROUND(AK41+AL41,0)</f>
        <v>5970280</v>
      </c>
      <c r="AN41" s="50">
        <f t="shared" si="11"/>
        <v>11940560</v>
      </c>
      <c r="AO41" s="54">
        <f t="shared" si="12"/>
        <v>59702800</v>
      </c>
      <c r="AQ41" s="15">
        <f>+AN41*6</f>
        <v>71643360</v>
      </c>
      <c r="AR41" s="55"/>
    </row>
    <row r="42" spans="2:44" ht="15" customHeight="1" outlineLevel="2" x14ac:dyDescent="0.25">
      <c r="B42" s="42">
        <v>3711996</v>
      </c>
      <c r="C42" s="41">
        <v>0.05</v>
      </c>
      <c r="D42" s="56">
        <f>+B42*C42</f>
        <v>185599.80000000002</v>
      </c>
      <c r="E42" s="42">
        <f t="shared" si="28"/>
        <v>3897596</v>
      </c>
      <c r="F42" s="42" t="s">
        <v>47</v>
      </c>
      <c r="G42" s="43">
        <v>2</v>
      </c>
      <c r="H42" s="44" t="s">
        <v>79</v>
      </c>
      <c r="I42" s="42">
        <f t="shared" si="13"/>
        <v>3897596</v>
      </c>
      <c r="J42" s="45">
        <v>30</v>
      </c>
      <c r="K42" s="46">
        <f>I42/30*J42</f>
        <v>3897596</v>
      </c>
      <c r="L42" s="47">
        <f t="shared" si="1"/>
        <v>0</v>
      </c>
      <c r="M42" s="46">
        <v>0</v>
      </c>
      <c r="N42" s="46">
        <v>0</v>
      </c>
      <c r="O42" s="46">
        <f t="shared" si="2"/>
        <v>3897596</v>
      </c>
      <c r="P42" s="47">
        <v>0</v>
      </c>
      <c r="Q42" s="47">
        <v>80000</v>
      </c>
      <c r="R42" s="48">
        <f t="shared" si="3"/>
        <v>30</v>
      </c>
      <c r="S42" s="46">
        <f t="shared" si="4"/>
        <v>3897596</v>
      </c>
      <c r="T42" s="49">
        <f>CEILING(IF((O42+Q42)&gt;($E$2*10),S42*8%,0),100)</f>
        <v>0</v>
      </c>
      <c r="U42" s="49">
        <f>CEILING((S42)*12%,100)</f>
        <v>467800</v>
      </c>
      <c r="V42" s="49">
        <f>CEILING((S42)*2.436%,100)</f>
        <v>95000</v>
      </c>
      <c r="W42" s="49">
        <f>CEILING((S42)*4%,100)</f>
        <v>156000</v>
      </c>
      <c r="X42" s="49">
        <f t="shared" si="17"/>
        <v>6496.0453012799999</v>
      </c>
      <c r="Y42" s="49">
        <f>SUM(T42:X42)</f>
        <v>725296.04530127998</v>
      </c>
      <c r="Z42" s="49">
        <f t="shared" ref="Z42:Z68" si="69">(O42-L42)*4.1667%</f>
        <v>162401.13253199999</v>
      </c>
      <c r="AA42" s="49">
        <f>+O42*8.33333%</f>
        <v>324799.5367468</v>
      </c>
      <c r="AB42" s="49">
        <f>+O42*8.33333%</f>
        <v>324799.5367468</v>
      </c>
      <c r="AC42" s="49">
        <f>+O42*1%</f>
        <v>38975.96</v>
      </c>
      <c r="AD42" s="50">
        <f>SUM(Z42:AC42)</f>
        <v>850976.16602559993</v>
      </c>
      <c r="AE42" s="51">
        <f t="shared" si="5"/>
        <v>0</v>
      </c>
      <c r="AF42" s="52">
        <v>0</v>
      </c>
      <c r="AG42" s="53">
        <f t="shared" si="23"/>
        <v>5553868</v>
      </c>
      <c r="AH42" s="53">
        <f t="shared" si="6"/>
        <v>11107736</v>
      </c>
      <c r="AI42" s="50">
        <v>0</v>
      </c>
      <c r="AJ42" s="50">
        <f t="shared" si="7"/>
        <v>0</v>
      </c>
      <c r="AK42" s="50">
        <f>+AG42+AI42</f>
        <v>5553868</v>
      </c>
      <c r="AL42" s="50">
        <f>+AI42*19%</f>
        <v>0</v>
      </c>
      <c r="AM42" s="50">
        <f>ROUND(AK42+AL42,0)</f>
        <v>5553868</v>
      </c>
      <c r="AN42" s="50">
        <f t="shared" si="11"/>
        <v>11107736</v>
      </c>
      <c r="AO42" s="54">
        <f t="shared" si="12"/>
        <v>55538680</v>
      </c>
      <c r="AQ42" s="15">
        <f>+AN42*6</f>
        <v>66646416</v>
      </c>
      <c r="AR42" s="55"/>
    </row>
    <row r="43" spans="2:44" ht="15" customHeight="1" outlineLevel="2" x14ac:dyDescent="0.25">
      <c r="B43" s="42">
        <v>2966113</v>
      </c>
      <c r="C43" s="41">
        <v>4.4999999999999998E-2</v>
      </c>
      <c r="D43" s="56">
        <f t="shared" si="27"/>
        <v>133475.08499999999</v>
      </c>
      <c r="E43" s="42">
        <f t="shared" si="28"/>
        <v>3099588</v>
      </c>
      <c r="F43" s="42" t="s">
        <v>47</v>
      </c>
      <c r="G43" s="43">
        <v>10</v>
      </c>
      <c r="H43" s="44" t="s">
        <v>80</v>
      </c>
      <c r="I43" s="42">
        <f t="shared" si="13"/>
        <v>3099588</v>
      </c>
      <c r="J43" s="45">
        <v>30</v>
      </c>
      <c r="K43" s="46">
        <f t="shared" si="30"/>
        <v>3099588</v>
      </c>
      <c r="L43" s="47">
        <f t="shared" si="1"/>
        <v>249094.99999999997</v>
      </c>
      <c r="M43" s="46">
        <v>0</v>
      </c>
      <c r="N43" s="46">
        <v>0</v>
      </c>
      <c r="O43" s="46">
        <f t="shared" si="2"/>
        <v>3348683</v>
      </c>
      <c r="P43" s="47">
        <v>0</v>
      </c>
      <c r="Q43" s="47">
        <v>80000</v>
      </c>
      <c r="R43" s="48">
        <f t="shared" si="3"/>
        <v>30</v>
      </c>
      <c r="S43" s="46">
        <f t="shared" si="4"/>
        <v>3099588</v>
      </c>
      <c r="T43" s="49">
        <f t="shared" si="31"/>
        <v>0</v>
      </c>
      <c r="U43" s="49">
        <f t="shared" ref="U43:U45" si="70">CEILING((S43)*12%,100)</f>
        <v>372000</v>
      </c>
      <c r="V43" s="49">
        <f t="shared" ref="V43:V44" si="71">CEILING((S43)*2.436%,100)</f>
        <v>75600</v>
      </c>
      <c r="W43" s="49">
        <f t="shared" si="33"/>
        <v>124000</v>
      </c>
      <c r="X43" s="49">
        <f t="shared" si="17"/>
        <v>5166.0213278399997</v>
      </c>
      <c r="Y43" s="49">
        <f t="shared" si="34"/>
        <v>576766.02132784005</v>
      </c>
      <c r="Z43" s="49">
        <f t="shared" si="69"/>
        <v>129150.53319599999</v>
      </c>
      <c r="AA43" s="49">
        <f t="shared" si="35"/>
        <v>279056.80504389998</v>
      </c>
      <c r="AB43" s="49">
        <f t="shared" si="36"/>
        <v>279056.80504389998</v>
      </c>
      <c r="AC43" s="49">
        <f t="shared" si="37"/>
        <v>33486.83</v>
      </c>
      <c r="AD43" s="50">
        <f t="shared" si="38"/>
        <v>720750.97328379995</v>
      </c>
      <c r="AE43" s="51">
        <f t="shared" si="5"/>
        <v>0</v>
      </c>
      <c r="AF43" s="52">
        <v>0</v>
      </c>
      <c r="AG43" s="53">
        <f t="shared" si="23"/>
        <v>4726200</v>
      </c>
      <c r="AH43" s="53">
        <f t="shared" si="6"/>
        <v>47262000</v>
      </c>
      <c r="AI43" s="50">
        <v>0</v>
      </c>
      <c r="AJ43" s="50">
        <f t="shared" si="7"/>
        <v>0</v>
      </c>
      <c r="AK43" s="50">
        <f t="shared" si="39"/>
        <v>4726200</v>
      </c>
      <c r="AL43" s="50">
        <f t="shared" si="40"/>
        <v>0</v>
      </c>
      <c r="AM43" s="50">
        <f t="shared" si="41"/>
        <v>4726200</v>
      </c>
      <c r="AN43" s="50">
        <f t="shared" si="11"/>
        <v>47262000</v>
      </c>
      <c r="AO43" s="54">
        <f t="shared" si="12"/>
        <v>236310000</v>
      </c>
      <c r="AQ43" s="15">
        <f t="shared" si="24"/>
        <v>283572000</v>
      </c>
      <c r="AR43" s="55"/>
    </row>
    <row r="44" spans="2:44" ht="15" customHeight="1" outlineLevel="2" x14ac:dyDescent="0.25">
      <c r="B44" s="42">
        <v>2966113</v>
      </c>
      <c r="C44" s="41">
        <v>4.4999999999999998E-2</v>
      </c>
      <c r="D44" s="56">
        <f t="shared" si="27"/>
        <v>133475.08499999999</v>
      </c>
      <c r="E44" s="42">
        <f t="shared" si="28"/>
        <v>3099588</v>
      </c>
      <c r="F44" s="42" t="s">
        <v>47</v>
      </c>
      <c r="G44" s="43">
        <v>26</v>
      </c>
      <c r="H44" s="44" t="s">
        <v>81</v>
      </c>
      <c r="I44" s="42">
        <f t="shared" si="13"/>
        <v>3099588</v>
      </c>
      <c r="J44" s="45">
        <v>30</v>
      </c>
      <c r="K44" s="46">
        <f t="shared" si="30"/>
        <v>3099588</v>
      </c>
      <c r="L44" s="47">
        <f t="shared" si="1"/>
        <v>249094.99999999997</v>
      </c>
      <c r="M44" s="46">
        <v>0</v>
      </c>
      <c r="N44" s="46">
        <v>0</v>
      </c>
      <c r="O44" s="46">
        <f t="shared" si="2"/>
        <v>3348683</v>
      </c>
      <c r="P44" s="47">
        <v>0</v>
      </c>
      <c r="Q44" s="47">
        <v>80000</v>
      </c>
      <c r="R44" s="48">
        <f t="shared" si="3"/>
        <v>30</v>
      </c>
      <c r="S44" s="46">
        <f t="shared" si="4"/>
        <v>3099588</v>
      </c>
      <c r="T44" s="49">
        <f t="shared" si="31"/>
        <v>0</v>
      </c>
      <c r="U44" s="49">
        <f t="shared" si="70"/>
        <v>372000</v>
      </c>
      <c r="V44" s="49">
        <f t="shared" si="71"/>
        <v>75600</v>
      </c>
      <c r="W44" s="49">
        <f t="shared" si="33"/>
        <v>124000</v>
      </c>
      <c r="X44" s="49">
        <f t="shared" si="17"/>
        <v>5166.0213278399997</v>
      </c>
      <c r="Y44" s="49">
        <f t="shared" si="34"/>
        <v>576766.02132784005</v>
      </c>
      <c r="Z44" s="49">
        <f t="shared" si="69"/>
        <v>129150.53319599999</v>
      </c>
      <c r="AA44" s="49">
        <f t="shared" si="35"/>
        <v>279056.80504389998</v>
      </c>
      <c r="AB44" s="49">
        <f t="shared" si="36"/>
        <v>279056.80504389998</v>
      </c>
      <c r="AC44" s="49">
        <f t="shared" si="37"/>
        <v>33486.83</v>
      </c>
      <c r="AD44" s="50">
        <f t="shared" si="38"/>
        <v>720750.97328379995</v>
      </c>
      <c r="AE44" s="51">
        <f t="shared" si="5"/>
        <v>0</v>
      </c>
      <c r="AF44" s="52">
        <v>0</v>
      </c>
      <c r="AG44" s="53">
        <f t="shared" si="23"/>
        <v>4726200</v>
      </c>
      <c r="AH44" s="53">
        <f t="shared" si="6"/>
        <v>122881200</v>
      </c>
      <c r="AI44" s="50">
        <v>0</v>
      </c>
      <c r="AJ44" s="50">
        <f t="shared" si="7"/>
        <v>0</v>
      </c>
      <c r="AK44" s="50">
        <f t="shared" si="39"/>
        <v>4726200</v>
      </c>
      <c r="AL44" s="50">
        <f t="shared" si="40"/>
        <v>0</v>
      </c>
      <c r="AM44" s="50">
        <f t="shared" si="41"/>
        <v>4726200</v>
      </c>
      <c r="AN44" s="50">
        <f t="shared" si="11"/>
        <v>122881200</v>
      </c>
      <c r="AO44" s="54">
        <f t="shared" si="12"/>
        <v>614406000</v>
      </c>
      <c r="AQ44" s="15">
        <f t="shared" si="24"/>
        <v>737287200</v>
      </c>
      <c r="AR44" s="55"/>
    </row>
    <row r="45" spans="2:44" ht="15" customHeight="1" outlineLevel="2" x14ac:dyDescent="0.25">
      <c r="B45" s="42">
        <v>3312000</v>
      </c>
      <c r="C45" s="41">
        <v>4.4999999999999998E-2</v>
      </c>
      <c r="D45" s="56">
        <f t="shared" si="27"/>
        <v>149040</v>
      </c>
      <c r="E45" s="42">
        <f t="shared" si="28"/>
        <v>3461040</v>
      </c>
      <c r="F45" s="42" t="s">
        <v>47</v>
      </c>
      <c r="G45" s="43">
        <v>1</v>
      </c>
      <c r="H45" s="44" t="s">
        <v>82</v>
      </c>
      <c r="I45" s="42">
        <f t="shared" si="13"/>
        <v>3461040</v>
      </c>
      <c r="J45" s="45">
        <v>30</v>
      </c>
      <c r="K45" s="46">
        <f>I45/30*J45</f>
        <v>3461040</v>
      </c>
      <c r="L45" s="47">
        <f t="shared" si="1"/>
        <v>249094.99999999997</v>
      </c>
      <c r="M45" s="46">
        <v>0</v>
      </c>
      <c r="N45" s="46">
        <v>0</v>
      </c>
      <c r="O45" s="46">
        <f t="shared" si="2"/>
        <v>3710135</v>
      </c>
      <c r="P45" s="47">
        <v>0</v>
      </c>
      <c r="Q45" s="47">
        <v>80000</v>
      </c>
      <c r="R45" s="48">
        <f t="shared" si="3"/>
        <v>30</v>
      </c>
      <c r="S45" s="46">
        <f t="shared" si="4"/>
        <v>3461040</v>
      </c>
      <c r="T45" s="49">
        <f t="shared" si="31"/>
        <v>0</v>
      </c>
      <c r="U45" s="49">
        <f t="shared" si="70"/>
        <v>415400</v>
      </c>
      <c r="V45" s="49">
        <f>CEILING((S45)*2.436%,100)</f>
        <v>84400</v>
      </c>
      <c r="W45" s="49">
        <f t="shared" si="33"/>
        <v>138500</v>
      </c>
      <c r="X45" s="49">
        <f t="shared" si="17"/>
        <v>5768.4461471999994</v>
      </c>
      <c r="Y45" s="49">
        <f t="shared" si="34"/>
        <v>644068.44614719995</v>
      </c>
      <c r="Z45" s="49">
        <f t="shared" si="69"/>
        <v>144211.15367999999</v>
      </c>
      <c r="AA45" s="49">
        <f t="shared" si="35"/>
        <v>309177.79299549997</v>
      </c>
      <c r="AB45" s="49">
        <f t="shared" si="36"/>
        <v>309177.79299549997</v>
      </c>
      <c r="AC45" s="49">
        <f t="shared" si="37"/>
        <v>37101.35</v>
      </c>
      <c r="AD45" s="50">
        <f t="shared" si="38"/>
        <v>799668.08967099991</v>
      </c>
      <c r="AE45" s="51">
        <f t="shared" si="5"/>
        <v>0</v>
      </c>
      <c r="AF45" s="52">
        <v>0</v>
      </c>
      <c r="AG45" s="53">
        <f t="shared" si="23"/>
        <v>5233872</v>
      </c>
      <c r="AH45" s="53">
        <f t="shared" si="6"/>
        <v>5233872</v>
      </c>
      <c r="AI45" s="50">
        <v>0</v>
      </c>
      <c r="AJ45" s="50">
        <f t="shared" si="7"/>
        <v>0</v>
      </c>
      <c r="AK45" s="50">
        <f t="shared" si="39"/>
        <v>5233872</v>
      </c>
      <c r="AL45" s="50">
        <f t="shared" si="40"/>
        <v>0</v>
      </c>
      <c r="AM45" s="50">
        <f t="shared" si="41"/>
        <v>5233872</v>
      </c>
      <c r="AN45" s="50">
        <f t="shared" si="11"/>
        <v>5233872</v>
      </c>
      <c r="AO45" s="54">
        <f t="shared" si="12"/>
        <v>26169360</v>
      </c>
      <c r="AQ45" s="15">
        <f>+AN45*6</f>
        <v>31403232</v>
      </c>
      <c r="AR45" s="55"/>
    </row>
    <row r="46" spans="2:44" ht="24.75" customHeight="1" outlineLevel="2" x14ac:dyDescent="0.25">
      <c r="B46" s="42">
        <f>6319685+1000000</f>
        <v>7319685</v>
      </c>
      <c r="C46" s="41">
        <v>4.4999999999999998E-2</v>
      </c>
      <c r="D46" s="56">
        <f t="shared" si="27"/>
        <v>329385.82500000001</v>
      </c>
      <c r="E46" s="42">
        <f t="shared" si="28"/>
        <v>7649071</v>
      </c>
      <c r="F46" s="42" t="s">
        <v>47</v>
      </c>
      <c r="G46" s="43">
        <v>1</v>
      </c>
      <c r="H46" s="57" t="s">
        <v>83</v>
      </c>
      <c r="I46" s="42">
        <f t="shared" si="13"/>
        <v>7649071</v>
      </c>
      <c r="J46" s="45">
        <v>30</v>
      </c>
      <c r="K46" s="46">
        <f>I46/30*J46</f>
        <v>7649071</v>
      </c>
      <c r="L46" s="47">
        <f t="shared" si="1"/>
        <v>0</v>
      </c>
      <c r="M46" s="46">
        <v>0</v>
      </c>
      <c r="N46" s="46">
        <v>0</v>
      </c>
      <c r="O46" s="46">
        <f t="shared" si="2"/>
        <v>7649071</v>
      </c>
      <c r="P46" s="47">
        <v>0</v>
      </c>
      <c r="Q46" s="47">
        <v>80000</v>
      </c>
      <c r="R46" s="48">
        <f t="shared" si="3"/>
        <v>30</v>
      </c>
      <c r="S46" s="46">
        <f t="shared" si="4"/>
        <v>7649071</v>
      </c>
      <c r="T46" s="49">
        <f>CEILING(IF((O46+Q46)&gt;($E$2*10),S46*8%,0),100)</f>
        <v>0</v>
      </c>
      <c r="U46" s="49">
        <f>CEILING((S46)*12%,100)</f>
        <v>917900</v>
      </c>
      <c r="V46" s="49">
        <f>CEILING((S46)*2.436%,100)</f>
        <v>186400</v>
      </c>
      <c r="W46" s="49">
        <f>CEILING((S46)*4%,100)</f>
        <v>306000</v>
      </c>
      <c r="X46" s="49">
        <f t="shared" si="17"/>
        <v>12748.553654279998</v>
      </c>
      <c r="Y46" s="49">
        <f>SUM(T46:X46)</f>
        <v>1423048.55365428</v>
      </c>
      <c r="Z46" s="49">
        <f t="shared" si="69"/>
        <v>318713.84135699994</v>
      </c>
      <c r="AA46" s="49">
        <f>+O46*8.33333%</f>
        <v>637422.32836429996</v>
      </c>
      <c r="AB46" s="49">
        <f>+O46*8.33333%</f>
        <v>637422.32836429996</v>
      </c>
      <c r="AC46" s="49">
        <f>+O46*1%</f>
        <v>76490.710000000006</v>
      </c>
      <c r="AD46" s="50">
        <f>SUM(Z46:AC46)</f>
        <v>1670049.2080855998</v>
      </c>
      <c r="AE46" s="51">
        <f t="shared" si="5"/>
        <v>0</v>
      </c>
      <c r="AF46" s="52">
        <v>0</v>
      </c>
      <c r="AG46" s="53">
        <f t="shared" si="23"/>
        <v>10822169</v>
      </c>
      <c r="AH46" s="53">
        <f t="shared" si="6"/>
        <v>10822169</v>
      </c>
      <c r="AI46" s="50">
        <v>0</v>
      </c>
      <c r="AJ46" s="50">
        <f t="shared" si="7"/>
        <v>0</v>
      </c>
      <c r="AK46" s="50">
        <f>+AG46+AI46</f>
        <v>10822169</v>
      </c>
      <c r="AL46" s="50">
        <f>+AI46*19%</f>
        <v>0</v>
      </c>
      <c r="AM46" s="50">
        <f>ROUND(AK46+AL46,0)</f>
        <v>10822169</v>
      </c>
      <c r="AN46" s="50">
        <f t="shared" si="11"/>
        <v>10822169</v>
      </c>
      <c r="AO46" s="54">
        <f t="shared" si="12"/>
        <v>54110845</v>
      </c>
      <c r="AQ46" s="15">
        <f>+AN46*6</f>
        <v>64933014</v>
      </c>
      <c r="AR46" s="55"/>
    </row>
    <row r="47" spans="2:44" ht="24.75" customHeight="1" outlineLevel="2" x14ac:dyDescent="0.25">
      <c r="B47" s="42">
        <v>4194247</v>
      </c>
      <c r="C47" s="41">
        <v>0.05</v>
      </c>
      <c r="D47" s="56">
        <f t="shared" si="27"/>
        <v>209712.35</v>
      </c>
      <c r="E47" s="42">
        <f t="shared" si="28"/>
        <v>4403959</v>
      </c>
      <c r="F47" s="42" t="s">
        <v>47</v>
      </c>
      <c r="G47" s="43">
        <v>1</v>
      </c>
      <c r="H47" s="57" t="s">
        <v>84</v>
      </c>
      <c r="I47" s="42">
        <f t="shared" si="13"/>
        <v>4403959</v>
      </c>
      <c r="J47" s="45">
        <v>30</v>
      </c>
      <c r="K47" s="46">
        <f t="shared" ref="K47:K48" si="72">I47/30*J47</f>
        <v>4403959</v>
      </c>
      <c r="L47" s="47">
        <f t="shared" si="1"/>
        <v>0</v>
      </c>
      <c r="M47" s="46">
        <v>0</v>
      </c>
      <c r="N47" s="46">
        <v>0</v>
      </c>
      <c r="O47" s="46">
        <f t="shared" si="2"/>
        <v>4403959</v>
      </c>
      <c r="P47" s="47">
        <v>0</v>
      </c>
      <c r="Q47" s="47">
        <v>80000</v>
      </c>
      <c r="R47" s="48">
        <f t="shared" si="3"/>
        <v>30</v>
      </c>
      <c r="S47" s="46">
        <f t="shared" si="4"/>
        <v>4403959</v>
      </c>
      <c r="T47" s="49">
        <f t="shared" ref="T47:T48" si="73">CEILING(IF((O47+Q47)&gt;($E$2*10),S47*8%,0),100)</f>
        <v>0</v>
      </c>
      <c r="U47" s="49">
        <f t="shared" ref="U47:U48" si="74">CEILING((S47)*12%,100)</f>
        <v>528500</v>
      </c>
      <c r="V47" s="49">
        <f t="shared" ref="V47:V48" si="75">CEILING((S47)*2.436%,100)</f>
        <v>107300</v>
      </c>
      <c r="W47" s="49">
        <f t="shared" ref="W47:W48" si="76">CEILING((S47)*4%,100)</f>
        <v>176200</v>
      </c>
      <c r="X47" s="49">
        <f t="shared" si="17"/>
        <v>7339.99038612</v>
      </c>
      <c r="Y47" s="49">
        <f t="shared" ref="Y47:Y48" si="77">SUM(T47:X47)</f>
        <v>819339.99038612004</v>
      </c>
      <c r="Z47" s="49">
        <f t="shared" si="69"/>
        <v>183499.75965299999</v>
      </c>
      <c r="AA47" s="49">
        <f t="shared" ref="AA47:AA48" si="78">+O47*8.33333%</f>
        <v>366996.43653469998</v>
      </c>
      <c r="AB47" s="49">
        <f t="shared" ref="AB47:AB48" si="79">+O47*8.33333%</f>
        <v>366996.43653469998</v>
      </c>
      <c r="AC47" s="49">
        <f t="shared" ref="AC47:AC48" si="80">+O47*1%</f>
        <v>44039.590000000004</v>
      </c>
      <c r="AD47" s="50">
        <f t="shared" ref="AD47:AD48" si="81">SUM(Z47:AC47)</f>
        <v>961532.22272239986</v>
      </c>
      <c r="AE47" s="51">
        <f t="shared" si="5"/>
        <v>0</v>
      </c>
      <c r="AF47" s="52">
        <v>0</v>
      </c>
      <c r="AG47" s="53">
        <f t="shared" si="23"/>
        <v>6264831</v>
      </c>
      <c r="AH47" s="53">
        <f t="shared" si="6"/>
        <v>6264831</v>
      </c>
      <c r="AI47" s="50">
        <v>0</v>
      </c>
      <c r="AJ47" s="50">
        <f t="shared" si="7"/>
        <v>0</v>
      </c>
      <c r="AK47" s="50">
        <f t="shared" ref="AK47:AK48" si="82">+AG47+AI47</f>
        <v>6264831</v>
      </c>
      <c r="AL47" s="50">
        <f t="shared" ref="AL47:AL48" si="83">+AI47*19%</f>
        <v>0</v>
      </c>
      <c r="AM47" s="50">
        <f t="shared" ref="AM47:AM48" si="84">ROUND(AK47+AL47,0)</f>
        <v>6264831</v>
      </c>
      <c r="AN47" s="50">
        <f t="shared" si="11"/>
        <v>6264831</v>
      </c>
      <c r="AO47" s="54">
        <f t="shared" si="12"/>
        <v>31324155</v>
      </c>
      <c r="AQ47" s="15">
        <f t="shared" ref="AQ47" si="85">+AN47*6</f>
        <v>37588986</v>
      </c>
      <c r="AR47" s="55"/>
    </row>
    <row r="48" spans="2:44" ht="15" customHeight="1" outlineLevel="2" x14ac:dyDescent="0.25">
      <c r="B48" s="42">
        <v>4093378</v>
      </c>
      <c r="C48" s="41">
        <v>4.4999999999999998E-2</v>
      </c>
      <c r="D48" s="56">
        <f t="shared" si="27"/>
        <v>184202.00999999998</v>
      </c>
      <c r="E48" s="42">
        <f t="shared" si="28"/>
        <v>4277580</v>
      </c>
      <c r="F48" s="42" t="s">
        <v>47</v>
      </c>
      <c r="G48" s="43">
        <v>1</v>
      </c>
      <c r="H48" s="44" t="s">
        <v>85</v>
      </c>
      <c r="I48" s="42">
        <f t="shared" si="13"/>
        <v>4277580</v>
      </c>
      <c r="J48" s="45">
        <v>30</v>
      </c>
      <c r="K48" s="46">
        <f t="shared" si="72"/>
        <v>4277580</v>
      </c>
      <c r="L48" s="47">
        <f t="shared" si="1"/>
        <v>0</v>
      </c>
      <c r="M48" s="46">
        <v>0</v>
      </c>
      <c r="N48" s="46">
        <v>0</v>
      </c>
      <c r="O48" s="46">
        <f t="shared" si="2"/>
        <v>4277580</v>
      </c>
      <c r="P48" s="47">
        <v>0</v>
      </c>
      <c r="Q48" s="47">
        <v>80000</v>
      </c>
      <c r="R48" s="48">
        <f t="shared" si="3"/>
        <v>30</v>
      </c>
      <c r="S48" s="46">
        <f t="shared" si="4"/>
        <v>4277580</v>
      </c>
      <c r="T48" s="49">
        <f t="shared" si="73"/>
        <v>0</v>
      </c>
      <c r="U48" s="49">
        <f t="shared" si="74"/>
        <v>513400</v>
      </c>
      <c r="V48" s="49">
        <f t="shared" si="75"/>
        <v>104300</v>
      </c>
      <c r="W48" s="49">
        <f t="shared" si="76"/>
        <v>171200</v>
      </c>
      <c r="X48" s="49">
        <f t="shared" si="17"/>
        <v>7129.3570344</v>
      </c>
      <c r="Y48" s="49">
        <f t="shared" si="77"/>
        <v>796029.35703439999</v>
      </c>
      <c r="Z48" s="49">
        <f t="shared" si="69"/>
        <v>178233.92585999999</v>
      </c>
      <c r="AA48" s="49">
        <f t="shared" si="78"/>
        <v>356464.85741399997</v>
      </c>
      <c r="AB48" s="49">
        <f t="shared" si="79"/>
        <v>356464.85741399997</v>
      </c>
      <c r="AC48" s="49">
        <f t="shared" si="80"/>
        <v>42775.8</v>
      </c>
      <c r="AD48" s="50">
        <f t="shared" si="81"/>
        <v>933939.44068799994</v>
      </c>
      <c r="AE48" s="51">
        <f t="shared" si="5"/>
        <v>0</v>
      </c>
      <c r="AF48" s="52">
        <v>0</v>
      </c>
      <c r="AG48" s="53">
        <f t="shared" si="23"/>
        <v>6087549</v>
      </c>
      <c r="AH48" s="53">
        <f t="shared" si="6"/>
        <v>6087549</v>
      </c>
      <c r="AI48" s="50">
        <v>0</v>
      </c>
      <c r="AJ48" s="50">
        <f t="shared" si="7"/>
        <v>0</v>
      </c>
      <c r="AK48" s="50">
        <f t="shared" si="82"/>
        <v>6087549</v>
      </c>
      <c r="AL48" s="50">
        <f t="shared" si="83"/>
        <v>0</v>
      </c>
      <c r="AM48" s="50">
        <f t="shared" si="84"/>
        <v>6087549</v>
      </c>
      <c r="AN48" s="50">
        <f t="shared" si="11"/>
        <v>6087549</v>
      </c>
      <c r="AO48" s="54">
        <f t="shared" si="12"/>
        <v>30437745</v>
      </c>
      <c r="AQ48" s="15">
        <f>+AN48*6</f>
        <v>36525294</v>
      </c>
      <c r="AR48" s="55"/>
    </row>
    <row r="49" spans="2:44" ht="15" customHeight="1" outlineLevel="2" x14ac:dyDescent="0.25">
      <c r="B49" s="42">
        <v>4667888</v>
      </c>
      <c r="C49" s="41">
        <v>4.4999999999999998E-2</v>
      </c>
      <c r="D49" s="56">
        <f t="shared" si="27"/>
        <v>210054.96</v>
      </c>
      <c r="E49" s="42">
        <f t="shared" si="28"/>
        <v>4877943</v>
      </c>
      <c r="F49" s="42" t="s">
        <v>47</v>
      </c>
      <c r="G49" s="43">
        <v>1</v>
      </c>
      <c r="H49" s="44" t="s">
        <v>86</v>
      </c>
      <c r="I49" s="42">
        <f t="shared" si="13"/>
        <v>4877943</v>
      </c>
      <c r="J49" s="45">
        <v>30</v>
      </c>
      <c r="K49" s="46">
        <f>I49/30*J49</f>
        <v>4877943</v>
      </c>
      <c r="L49" s="47">
        <f t="shared" si="1"/>
        <v>0</v>
      </c>
      <c r="M49" s="46">
        <v>0</v>
      </c>
      <c r="N49" s="46">
        <v>0</v>
      </c>
      <c r="O49" s="46">
        <f t="shared" si="2"/>
        <v>4877943</v>
      </c>
      <c r="P49" s="47">
        <v>0</v>
      </c>
      <c r="Q49" s="47">
        <v>80000</v>
      </c>
      <c r="R49" s="48">
        <f t="shared" si="3"/>
        <v>30</v>
      </c>
      <c r="S49" s="46">
        <f t="shared" si="4"/>
        <v>4877943</v>
      </c>
      <c r="T49" s="49">
        <f>CEILING(IF((O49+Q49)&gt;($E$2*10),S49*8%,0),100)</f>
        <v>0</v>
      </c>
      <c r="U49" s="49">
        <f>CEILING((S49)*12%,100)</f>
        <v>585400</v>
      </c>
      <c r="V49" s="49">
        <f>CEILING((S49)*2.436%,100)</f>
        <v>118900</v>
      </c>
      <c r="W49" s="49">
        <f>CEILING((S49)*4%,100)</f>
        <v>195200</v>
      </c>
      <c r="X49" s="49">
        <f t="shared" si="17"/>
        <v>8129.97003924</v>
      </c>
      <c r="Y49" s="49">
        <f>SUM(T49:X49)</f>
        <v>907629.97003923997</v>
      </c>
      <c r="Z49" s="49">
        <f t="shared" si="69"/>
        <v>203249.25098099999</v>
      </c>
      <c r="AA49" s="49">
        <f>+O49*8.33333%</f>
        <v>406495.08740189997</v>
      </c>
      <c r="AB49" s="49">
        <f>+O49*8.33333%</f>
        <v>406495.08740189997</v>
      </c>
      <c r="AC49" s="49">
        <f>+O49*1%</f>
        <v>48779.43</v>
      </c>
      <c r="AD49" s="50">
        <f>SUM(Z49:AC49)</f>
        <v>1065018.8557847999</v>
      </c>
      <c r="AE49" s="51">
        <f t="shared" si="5"/>
        <v>0</v>
      </c>
      <c r="AF49" s="52">
        <v>0</v>
      </c>
      <c r="AG49" s="53">
        <f t="shared" si="23"/>
        <v>6930592</v>
      </c>
      <c r="AH49" s="53">
        <f t="shared" si="6"/>
        <v>6930592</v>
      </c>
      <c r="AI49" s="50">
        <v>0</v>
      </c>
      <c r="AJ49" s="50">
        <f t="shared" si="7"/>
        <v>0</v>
      </c>
      <c r="AK49" s="50">
        <f>+AG49+AI49</f>
        <v>6930592</v>
      </c>
      <c r="AL49" s="50">
        <f>+AI49*19%</f>
        <v>0</v>
      </c>
      <c r="AM49" s="50">
        <f>ROUND(AK49+AL49,0)</f>
        <v>6930592</v>
      </c>
      <c r="AN49" s="50">
        <f t="shared" si="11"/>
        <v>6930592</v>
      </c>
      <c r="AO49" s="54">
        <f t="shared" si="12"/>
        <v>34652960</v>
      </c>
      <c r="AQ49" s="15">
        <f>+AN49*6</f>
        <v>41583552</v>
      </c>
      <c r="AR49" s="55"/>
    </row>
    <row r="50" spans="2:44" ht="15" customHeight="1" outlineLevel="2" x14ac:dyDescent="0.25">
      <c r="B50" s="42">
        <v>4093378</v>
      </c>
      <c r="C50" s="41">
        <v>4.4999999999999998E-2</v>
      </c>
      <c r="D50" s="56">
        <f t="shared" si="27"/>
        <v>184202.00999999998</v>
      </c>
      <c r="E50" s="42">
        <f t="shared" si="28"/>
        <v>4277580</v>
      </c>
      <c r="F50" s="42" t="s">
        <v>47</v>
      </c>
      <c r="G50" s="43">
        <v>1</v>
      </c>
      <c r="H50" s="44" t="s">
        <v>87</v>
      </c>
      <c r="I50" s="42">
        <f t="shared" si="13"/>
        <v>4277580</v>
      </c>
      <c r="J50" s="45">
        <v>30</v>
      </c>
      <c r="K50" s="46">
        <f>I50/30*J50</f>
        <v>4277580</v>
      </c>
      <c r="L50" s="47">
        <f t="shared" si="1"/>
        <v>0</v>
      </c>
      <c r="M50" s="46">
        <v>0</v>
      </c>
      <c r="N50" s="46">
        <v>0</v>
      </c>
      <c r="O50" s="46">
        <f t="shared" si="2"/>
        <v>4277580</v>
      </c>
      <c r="P50" s="47">
        <v>0</v>
      </c>
      <c r="Q50" s="47">
        <v>80000</v>
      </c>
      <c r="R50" s="48">
        <f t="shared" si="3"/>
        <v>30</v>
      </c>
      <c r="S50" s="46">
        <f t="shared" si="4"/>
        <v>4277580</v>
      </c>
      <c r="T50" s="49">
        <f>CEILING(IF((O50+Q50)&gt;($E$2*10),S50*8%,0),100)</f>
        <v>0</v>
      </c>
      <c r="U50" s="49">
        <f>CEILING((S50)*12%,100)</f>
        <v>513400</v>
      </c>
      <c r="V50" s="49">
        <f>CEILING((S50)*2.436%,100)</f>
        <v>104300</v>
      </c>
      <c r="W50" s="49">
        <f>CEILING((S50)*4%,100)</f>
        <v>171200</v>
      </c>
      <c r="X50" s="49">
        <f t="shared" si="17"/>
        <v>7129.3570344</v>
      </c>
      <c r="Y50" s="49">
        <f>SUM(T50:X50)</f>
        <v>796029.35703439999</v>
      </c>
      <c r="Z50" s="49">
        <f t="shared" si="69"/>
        <v>178233.92585999999</v>
      </c>
      <c r="AA50" s="49">
        <f>+O50*8.33333%</f>
        <v>356464.85741399997</v>
      </c>
      <c r="AB50" s="49">
        <f>+O50*8.33333%</f>
        <v>356464.85741399997</v>
      </c>
      <c r="AC50" s="49">
        <f>+O50*1%</f>
        <v>42775.8</v>
      </c>
      <c r="AD50" s="50">
        <f>SUM(Z50:AC50)</f>
        <v>933939.44068799994</v>
      </c>
      <c r="AE50" s="51">
        <f t="shared" si="5"/>
        <v>0</v>
      </c>
      <c r="AF50" s="52">
        <v>0</v>
      </c>
      <c r="AG50" s="53">
        <f t="shared" si="23"/>
        <v>6087549</v>
      </c>
      <c r="AH50" s="53">
        <f t="shared" si="6"/>
        <v>6087549</v>
      </c>
      <c r="AI50" s="50">
        <v>0</v>
      </c>
      <c r="AJ50" s="50">
        <f t="shared" si="7"/>
        <v>0</v>
      </c>
      <c r="AK50" s="50">
        <f>+AG50+AI50</f>
        <v>6087549</v>
      </c>
      <c r="AL50" s="50">
        <f>+AI50*19%</f>
        <v>0</v>
      </c>
      <c r="AM50" s="50">
        <f>ROUND(AK50+AL50,0)</f>
        <v>6087549</v>
      </c>
      <c r="AN50" s="50">
        <f t="shared" si="11"/>
        <v>6087549</v>
      </c>
      <c r="AO50" s="54">
        <f t="shared" si="12"/>
        <v>30437745</v>
      </c>
      <c r="AQ50" s="15">
        <f>+AN50*6</f>
        <v>36525294</v>
      </c>
      <c r="AR50" s="55"/>
    </row>
    <row r="51" spans="2:44" ht="15" customHeight="1" outlineLevel="2" x14ac:dyDescent="0.25">
      <c r="B51" s="42">
        <v>5390028</v>
      </c>
      <c r="C51" s="41">
        <f>+E51/B51-1</f>
        <v>5.7508421106532204E-2</v>
      </c>
      <c r="D51" s="56">
        <f>+B51*C51</f>
        <v>309971.99999999953</v>
      </c>
      <c r="E51" s="42">
        <v>5700000</v>
      </c>
      <c r="F51" s="42" t="s">
        <v>47</v>
      </c>
      <c r="G51" s="43">
        <v>137</v>
      </c>
      <c r="H51" s="44" t="s">
        <v>88</v>
      </c>
      <c r="I51" s="42">
        <v>5700000</v>
      </c>
      <c r="J51" s="45">
        <v>30</v>
      </c>
      <c r="K51" s="46">
        <f t="shared" ref="K51:K65" si="86">I51/30*J51</f>
        <v>5700000</v>
      </c>
      <c r="L51" s="47">
        <f t="shared" si="1"/>
        <v>0</v>
      </c>
      <c r="M51" s="46">
        <v>0</v>
      </c>
      <c r="N51" s="46">
        <v>0</v>
      </c>
      <c r="O51" s="46">
        <f t="shared" si="2"/>
        <v>5700000</v>
      </c>
      <c r="P51" s="47">
        <v>0</v>
      </c>
      <c r="Q51" s="47">
        <v>80000</v>
      </c>
      <c r="R51" s="48">
        <f t="shared" si="3"/>
        <v>30</v>
      </c>
      <c r="S51" s="46">
        <f t="shared" si="4"/>
        <v>5700000</v>
      </c>
      <c r="T51" s="49">
        <f t="shared" ref="T51:T65" si="87">CEILING(IF((O51+Q51)&gt;($E$2*10),S51*8%,0),100)</f>
        <v>0</v>
      </c>
      <c r="U51" s="49">
        <f t="shared" ref="U51:U65" si="88">CEILING((S51)*12%,100)</f>
        <v>684000</v>
      </c>
      <c r="V51" s="49">
        <f t="shared" ref="V51:V65" si="89">CEILING((S51)*2.436%,100)</f>
        <v>138900</v>
      </c>
      <c r="W51" s="49">
        <f t="shared" ref="W51:W65" si="90">CEILING((S51)*4%,100)</f>
        <v>228000</v>
      </c>
      <c r="X51" s="49">
        <f t="shared" si="17"/>
        <v>9500.0759999999991</v>
      </c>
      <c r="Y51" s="49">
        <f t="shared" ref="Y51:Y65" si="91">SUM(T51:X51)</f>
        <v>1060400.0759999999</v>
      </c>
      <c r="Z51" s="49">
        <f t="shared" si="69"/>
        <v>237501.89999999997</v>
      </c>
      <c r="AA51" s="49">
        <f t="shared" ref="AA51:AA65" si="92">+O51*8.33333%</f>
        <v>474999.81</v>
      </c>
      <c r="AB51" s="49">
        <f t="shared" ref="AB51:AB65" si="93">+O51*8.33333%</f>
        <v>474999.81</v>
      </c>
      <c r="AC51" s="49">
        <f t="shared" ref="AC51:AC65" si="94">+O51*1%</f>
        <v>57000</v>
      </c>
      <c r="AD51" s="50">
        <f t="shared" ref="AD51:AD65" si="95">SUM(Z51:AC51)</f>
        <v>1244501.52</v>
      </c>
      <c r="AE51" s="51">
        <f t="shared" si="5"/>
        <v>0</v>
      </c>
      <c r="AF51" s="52">
        <v>0</v>
      </c>
      <c r="AG51" s="53">
        <f t="shared" si="23"/>
        <v>8084902</v>
      </c>
      <c r="AH51" s="53">
        <f t="shared" si="6"/>
        <v>1107631574</v>
      </c>
      <c r="AI51" s="50">
        <v>0</v>
      </c>
      <c r="AJ51" s="50">
        <f t="shared" si="7"/>
        <v>0</v>
      </c>
      <c r="AK51" s="50">
        <f t="shared" ref="AK51:AK65" si="96">+AG51+AI51</f>
        <v>8084902</v>
      </c>
      <c r="AL51" s="50">
        <f t="shared" ref="AL51:AL65" si="97">+AI51*19%</f>
        <v>0</v>
      </c>
      <c r="AM51" s="50">
        <f t="shared" ref="AM51:AM65" si="98">ROUND(AK51+AL51,0)</f>
        <v>8084902</v>
      </c>
      <c r="AN51" s="50">
        <f t="shared" si="11"/>
        <v>1107631574</v>
      </c>
      <c r="AO51" s="54">
        <f t="shared" si="12"/>
        <v>5538157870</v>
      </c>
      <c r="AQ51" s="15">
        <f t="shared" si="24"/>
        <v>6645789444</v>
      </c>
      <c r="AR51" s="55"/>
    </row>
    <row r="52" spans="2:44" ht="15" customHeight="1" outlineLevel="2" x14ac:dyDescent="0.25">
      <c r="B52" s="42">
        <v>2821832</v>
      </c>
      <c r="C52" s="41">
        <v>4.4999999999999998E-2</v>
      </c>
      <c r="D52" s="56">
        <f t="shared" si="27"/>
        <v>126982.44</v>
      </c>
      <c r="E52" s="42">
        <f t="shared" si="28"/>
        <v>2948814</v>
      </c>
      <c r="F52" s="42" t="s">
        <v>47</v>
      </c>
      <c r="G52" s="43">
        <v>6</v>
      </c>
      <c r="H52" s="44" t="s">
        <v>89</v>
      </c>
      <c r="I52" s="42">
        <f t="shared" si="13"/>
        <v>2948814</v>
      </c>
      <c r="J52" s="45">
        <v>30</v>
      </c>
      <c r="K52" s="46">
        <f t="shared" si="86"/>
        <v>2948814</v>
      </c>
      <c r="L52" s="47">
        <f t="shared" si="1"/>
        <v>249094.99999999997</v>
      </c>
      <c r="M52" s="46">
        <v>0</v>
      </c>
      <c r="N52" s="46">
        <v>0</v>
      </c>
      <c r="O52" s="46">
        <f t="shared" si="2"/>
        <v>3197909</v>
      </c>
      <c r="P52" s="47">
        <v>0</v>
      </c>
      <c r="Q52" s="47">
        <v>80000</v>
      </c>
      <c r="R52" s="48">
        <f t="shared" si="3"/>
        <v>30</v>
      </c>
      <c r="S52" s="46">
        <f t="shared" si="4"/>
        <v>2948814</v>
      </c>
      <c r="T52" s="49">
        <f t="shared" si="87"/>
        <v>0</v>
      </c>
      <c r="U52" s="49">
        <f t="shared" si="88"/>
        <v>353900</v>
      </c>
      <c r="V52" s="49">
        <f t="shared" si="89"/>
        <v>71900</v>
      </c>
      <c r="W52" s="49">
        <f t="shared" si="90"/>
        <v>118000</v>
      </c>
      <c r="X52" s="49">
        <f t="shared" si="17"/>
        <v>4914.7293175199993</v>
      </c>
      <c r="Y52" s="49">
        <f t="shared" si="91"/>
        <v>548714.72931752005</v>
      </c>
      <c r="Z52" s="49">
        <f t="shared" si="69"/>
        <v>122868.23293799999</v>
      </c>
      <c r="AA52" s="49">
        <f t="shared" si="92"/>
        <v>266492.3100697</v>
      </c>
      <c r="AB52" s="49">
        <f t="shared" si="93"/>
        <v>266492.3100697</v>
      </c>
      <c r="AC52" s="49">
        <f t="shared" si="94"/>
        <v>31979.09</v>
      </c>
      <c r="AD52" s="50">
        <f t="shared" si="95"/>
        <v>687831.94307739998</v>
      </c>
      <c r="AE52" s="51">
        <f t="shared" si="5"/>
        <v>0</v>
      </c>
      <c r="AF52" s="52">
        <v>0</v>
      </c>
      <c r="AG52" s="53">
        <f t="shared" si="23"/>
        <v>4514456</v>
      </c>
      <c r="AH52" s="53">
        <f t="shared" si="6"/>
        <v>27086736</v>
      </c>
      <c r="AI52" s="50">
        <v>0</v>
      </c>
      <c r="AJ52" s="50">
        <f t="shared" si="7"/>
        <v>0</v>
      </c>
      <c r="AK52" s="50">
        <f t="shared" si="96"/>
        <v>4514456</v>
      </c>
      <c r="AL52" s="50">
        <f t="shared" si="97"/>
        <v>0</v>
      </c>
      <c r="AM52" s="50">
        <f t="shared" si="98"/>
        <v>4514456</v>
      </c>
      <c r="AN52" s="50">
        <f t="shared" si="11"/>
        <v>27086736</v>
      </c>
      <c r="AO52" s="54">
        <f t="shared" si="12"/>
        <v>135433680</v>
      </c>
      <c r="AQ52" s="15">
        <f t="shared" si="24"/>
        <v>162520416</v>
      </c>
      <c r="AR52" s="55"/>
    </row>
    <row r="53" spans="2:44" ht="15" customHeight="1" outlineLevel="2" x14ac:dyDescent="0.25">
      <c r="B53" s="42">
        <v>3800000</v>
      </c>
      <c r="C53" s="41">
        <v>4.4999999999999998E-2</v>
      </c>
      <c r="D53" s="56">
        <f t="shared" si="27"/>
        <v>171000</v>
      </c>
      <c r="E53" s="42">
        <f t="shared" si="28"/>
        <v>3971000</v>
      </c>
      <c r="F53" s="42" t="s">
        <v>47</v>
      </c>
      <c r="G53" s="43">
        <v>1</v>
      </c>
      <c r="H53" s="44" t="s">
        <v>90</v>
      </c>
      <c r="I53" s="42">
        <f t="shared" si="13"/>
        <v>3971000</v>
      </c>
      <c r="J53" s="45">
        <v>30</v>
      </c>
      <c r="K53" s="46">
        <f t="shared" si="86"/>
        <v>3970999.9999999995</v>
      </c>
      <c r="L53" s="47">
        <f t="shared" si="1"/>
        <v>0</v>
      </c>
      <c r="M53" s="46">
        <v>0</v>
      </c>
      <c r="N53" s="46">
        <v>0</v>
      </c>
      <c r="O53" s="46">
        <f t="shared" si="2"/>
        <v>3970999.9999999995</v>
      </c>
      <c r="P53" s="47">
        <v>0</v>
      </c>
      <c r="Q53" s="47">
        <v>80000</v>
      </c>
      <c r="R53" s="48">
        <f t="shared" si="3"/>
        <v>30</v>
      </c>
      <c r="S53" s="46">
        <f t="shared" si="4"/>
        <v>3970999.9999999995</v>
      </c>
      <c r="T53" s="49">
        <f t="shared" si="87"/>
        <v>0</v>
      </c>
      <c r="U53" s="49">
        <f t="shared" si="88"/>
        <v>476600</v>
      </c>
      <c r="V53" s="49">
        <f t="shared" si="89"/>
        <v>96800</v>
      </c>
      <c r="W53" s="49">
        <f t="shared" si="90"/>
        <v>158900</v>
      </c>
      <c r="X53" s="49">
        <f t="shared" si="17"/>
        <v>6618.3862799999988</v>
      </c>
      <c r="Y53" s="49">
        <f t="shared" si="91"/>
        <v>738918.38627999998</v>
      </c>
      <c r="Z53" s="49">
        <f t="shared" si="69"/>
        <v>165459.65699999998</v>
      </c>
      <c r="AA53" s="49">
        <f t="shared" si="92"/>
        <v>330916.53429999994</v>
      </c>
      <c r="AB53" s="49">
        <f t="shared" si="93"/>
        <v>330916.53429999994</v>
      </c>
      <c r="AC53" s="49">
        <f t="shared" si="94"/>
        <v>39709.999999999993</v>
      </c>
      <c r="AD53" s="50">
        <f t="shared" si="95"/>
        <v>867002.72559999989</v>
      </c>
      <c r="AE53" s="51">
        <f t="shared" si="5"/>
        <v>0</v>
      </c>
      <c r="AF53" s="52">
        <v>0</v>
      </c>
      <c r="AG53" s="53">
        <f t="shared" si="23"/>
        <v>5656921</v>
      </c>
      <c r="AH53" s="53">
        <f t="shared" si="6"/>
        <v>5656921</v>
      </c>
      <c r="AI53" s="50">
        <v>0</v>
      </c>
      <c r="AJ53" s="50">
        <f t="shared" si="7"/>
        <v>0</v>
      </c>
      <c r="AK53" s="50">
        <f t="shared" si="96"/>
        <v>5656921</v>
      </c>
      <c r="AL53" s="50">
        <f t="shared" si="97"/>
        <v>0</v>
      </c>
      <c r="AM53" s="50">
        <f t="shared" si="98"/>
        <v>5656921</v>
      </c>
      <c r="AN53" s="50">
        <f t="shared" si="11"/>
        <v>5656921</v>
      </c>
      <c r="AO53" s="54">
        <f t="shared" si="12"/>
        <v>28284605</v>
      </c>
      <c r="AQ53" s="15">
        <f t="shared" si="24"/>
        <v>33941526</v>
      </c>
      <c r="AR53" s="55"/>
    </row>
    <row r="54" spans="2:44" ht="15" customHeight="1" outlineLevel="2" x14ac:dyDescent="0.25">
      <c r="B54" s="42">
        <v>3678677</v>
      </c>
      <c r="C54" s="41">
        <v>4.4999999999999998E-2</v>
      </c>
      <c r="D54" s="56">
        <f t="shared" si="27"/>
        <v>165540.465</v>
      </c>
      <c r="E54" s="42">
        <f t="shared" si="28"/>
        <v>3844217</v>
      </c>
      <c r="F54" s="42" t="s">
        <v>47</v>
      </c>
      <c r="G54" s="43">
        <v>14</v>
      </c>
      <c r="H54" s="44" t="s">
        <v>91</v>
      </c>
      <c r="I54" s="42">
        <f t="shared" si="13"/>
        <v>3844217</v>
      </c>
      <c r="J54" s="45">
        <v>30</v>
      </c>
      <c r="K54" s="46">
        <f t="shared" si="86"/>
        <v>3844217</v>
      </c>
      <c r="L54" s="47">
        <f t="shared" si="1"/>
        <v>0</v>
      </c>
      <c r="M54" s="46">
        <v>0</v>
      </c>
      <c r="N54" s="46">
        <v>0</v>
      </c>
      <c r="O54" s="46">
        <f t="shared" si="2"/>
        <v>3844217</v>
      </c>
      <c r="P54" s="47">
        <v>0</v>
      </c>
      <c r="Q54" s="47">
        <v>80000</v>
      </c>
      <c r="R54" s="48">
        <f t="shared" si="3"/>
        <v>30</v>
      </c>
      <c r="S54" s="46">
        <f t="shared" si="4"/>
        <v>3844217</v>
      </c>
      <c r="T54" s="49">
        <f t="shared" si="87"/>
        <v>0</v>
      </c>
      <c r="U54" s="49">
        <f t="shared" si="88"/>
        <v>461400</v>
      </c>
      <c r="V54" s="49">
        <f t="shared" si="89"/>
        <v>93700</v>
      </c>
      <c r="W54" s="49">
        <f t="shared" si="90"/>
        <v>153800</v>
      </c>
      <c r="X54" s="49">
        <f t="shared" si="17"/>
        <v>6407.0795895599995</v>
      </c>
      <c r="Y54" s="49">
        <f t="shared" si="91"/>
        <v>715307.07958956005</v>
      </c>
      <c r="Z54" s="49">
        <f t="shared" si="69"/>
        <v>160176.98973899998</v>
      </c>
      <c r="AA54" s="49">
        <f t="shared" si="92"/>
        <v>320351.28852609999</v>
      </c>
      <c r="AB54" s="49">
        <f t="shared" si="93"/>
        <v>320351.28852609999</v>
      </c>
      <c r="AC54" s="49">
        <f t="shared" si="94"/>
        <v>38442.17</v>
      </c>
      <c r="AD54" s="50">
        <f t="shared" si="95"/>
        <v>839321.7367912</v>
      </c>
      <c r="AE54" s="51">
        <f t="shared" si="5"/>
        <v>0</v>
      </c>
      <c r="AF54" s="52">
        <v>0</v>
      </c>
      <c r="AG54" s="53">
        <f t="shared" si="23"/>
        <v>5478846</v>
      </c>
      <c r="AH54" s="53">
        <f t="shared" si="6"/>
        <v>76703844</v>
      </c>
      <c r="AI54" s="50">
        <v>0</v>
      </c>
      <c r="AJ54" s="50">
        <f t="shared" si="7"/>
        <v>0</v>
      </c>
      <c r="AK54" s="50">
        <f t="shared" si="96"/>
        <v>5478846</v>
      </c>
      <c r="AL54" s="50">
        <f t="shared" si="97"/>
        <v>0</v>
      </c>
      <c r="AM54" s="50">
        <f t="shared" si="98"/>
        <v>5478846</v>
      </c>
      <c r="AN54" s="50">
        <f t="shared" si="11"/>
        <v>76703844</v>
      </c>
      <c r="AO54" s="54">
        <f t="shared" si="12"/>
        <v>383519220</v>
      </c>
      <c r="AQ54" s="15">
        <f t="shared" si="24"/>
        <v>460223064</v>
      </c>
      <c r="AR54" s="55"/>
    </row>
    <row r="55" spans="2:44" ht="15" customHeight="1" outlineLevel="2" x14ac:dyDescent="0.25">
      <c r="B55" s="42">
        <v>2926000</v>
      </c>
      <c r="C55" s="41">
        <f>+E55/B55-1</f>
        <v>5.9466848940533223E-2</v>
      </c>
      <c r="D55" s="56">
        <f t="shared" si="27"/>
        <v>174000.0000000002</v>
      </c>
      <c r="E55" s="42">
        <v>3100000</v>
      </c>
      <c r="F55" s="42" t="s">
        <v>47</v>
      </c>
      <c r="G55" s="43">
        <v>7</v>
      </c>
      <c r="H55" s="44" t="s">
        <v>92</v>
      </c>
      <c r="I55" s="42">
        <v>3100000</v>
      </c>
      <c r="J55" s="45">
        <v>30</v>
      </c>
      <c r="K55" s="46">
        <f t="shared" si="86"/>
        <v>3100000</v>
      </c>
      <c r="L55" s="47">
        <f t="shared" si="1"/>
        <v>249094.99999999997</v>
      </c>
      <c r="M55" s="46">
        <v>0</v>
      </c>
      <c r="N55" s="46">
        <v>0</v>
      </c>
      <c r="O55" s="46">
        <f t="shared" si="2"/>
        <v>3349095</v>
      </c>
      <c r="P55" s="47">
        <v>0</v>
      </c>
      <c r="Q55" s="47">
        <v>80000</v>
      </c>
      <c r="R55" s="48">
        <f t="shared" si="3"/>
        <v>30</v>
      </c>
      <c r="S55" s="46">
        <f t="shared" si="4"/>
        <v>3100000</v>
      </c>
      <c r="T55" s="49">
        <f t="shared" si="87"/>
        <v>0</v>
      </c>
      <c r="U55" s="49">
        <f t="shared" si="88"/>
        <v>372000</v>
      </c>
      <c r="V55" s="49">
        <f t="shared" si="89"/>
        <v>75600</v>
      </c>
      <c r="W55" s="49">
        <f t="shared" si="90"/>
        <v>124000</v>
      </c>
      <c r="X55" s="49">
        <f t="shared" si="17"/>
        <v>5166.7079999999996</v>
      </c>
      <c r="Y55" s="49">
        <f t="shared" si="91"/>
        <v>576766.70799999998</v>
      </c>
      <c r="Z55" s="49">
        <f t="shared" si="69"/>
        <v>129167.69999999998</v>
      </c>
      <c r="AA55" s="49">
        <f t="shared" si="92"/>
        <v>279091.13836350001</v>
      </c>
      <c r="AB55" s="49">
        <f t="shared" si="93"/>
        <v>279091.13836350001</v>
      </c>
      <c r="AC55" s="49">
        <f t="shared" si="94"/>
        <v>33490.949999999997</v>
      </c>
      <c r="AD55" s="50">
        <f t="shared" si="95"/>
        <v>720840.92672699993</v>
      </c>
      <c r="AE55" s="51">
        <f t="shared" si="5"/>
        <v>0</v>
      </c>
      <c r="AF55" s="52">
        <v>0</v>
      </c>
      <c r="AG55" s="53">
        <f t="shared" si="23"/>
        <v>4726703</v>
      </c>
      <c r="AH55" s="53">
        <f t="shared" si="6"/>
        <v>33086921</v>
      </c>
      <c r="AI55" s="50">
        <v>0</v>
      </c>
      <c r="AJ55" s="50">
        <f t="shared" si="7"/>
        <v>0</v>
      </c>
      <c r="AK55" s="50">
        <f t="shared" si="96"/>
        <v>4726703</v>
      </c>
      <c r="AL55" s="50">
        <f t="shared" si="97"/>
        <v>0</v>
      </c>
      <c r="AM55" s="50">
        <f t="shared" si="98"/>
        <v>4726703</v>
      </c>
      <c r="AN55" s="50">
        <f t="shared" si="11"/>
        <v>33086921</v>
      </c>
      <c r="AO55" s="54">
        <f t="shared" si="12"/>
        <v>165434605</v>
      </c>
      <c r="AQ55" s="15">
        <f t="shared" si="24"/>
        <v>198521526</v>
      </c>
      <c r="AR55" s="55"/>
    </row>
    <row r="56" spans="2:44" ht="23.25" customHeight="1" outlineLevel="2" x14ac:dyDescent="0.25">
      <c r="B56" s="42">
        <v>4512603</v>
      </c>
      <c r="C56" s="41">
        <f>4.5%+3.5%</f>
        <v>0.08</v>
      </c>
      <c r="D56" s="56">
        <f t="shared" si="27"/>
        <v>361008.24</v>
      </c>
      <c r="E56" s="42">
        <f t="shared" ref="E56:E64" si="99">ROUND(B56+D56,0)</f>
        <v>4873611</v>
      </c>
      <c r="F56" s="42" t="s">
        <v>47</v>
      </c>
      <c r="G56" s="43">
        <v>1</v>
      </c>
      <c r="H56" s="57" t="s">
        <v>93</v>
      </c>
      <c r="I56" s="42">
        <f t="shared" ref="I56:I64" si="100">+E56</f>
        <v>4873611</v>
      </c>
      <c r="J56" s="45">
        <v>30</v>
      </c>
      <c r="K56" s="46">
        <f t="shared" si="86"/>
        <v>4873611</v>
      </c>
      <c r="L56" s="47">
        <f t="shared" si="1"/>
        <v>0</v>
      </c>
      <c r="M56" s="46">
        <v>0</v>
      </c>
      <c r="N56" s="46">
        <v>0</v>
      </c>
      <c r="O56" s="46">
        <f t="shared" si="2"/>
        <v>4873611</v>
      </c>
      <c r="P56" s="47">
        <v>0</v>
      </c>
      <c r="Q56" s="47">
        <v>80000</v>
      </c>
      <c r="R56" s="48">
        <f t="shared" si="3"/>
        <v>30</v>
      </c>
      <c r="S56" s="46">
        <f t="shared" si="4"/>
        <v>4873611</v>
      </c>
      <c r="T56" s="49">
        <f t="shared" si="87"/>
        <v>0</v>
      </c>
      <c r="U56" s="49">
        <f t="shared" si="88"/>
        <v>584900</v>
      </c>
      <c r="V56" s="49">
        <f t="shared" si="89"/>
        <v>118800</v>
      </c>
      <c r="W56" s="49">
        <f t="shared" si="90"/>
        <v>195000</v>
      </c>
      <c r="X56" s="49">
        <f t="shared" si="17"/>
        <v>8122.7499814799985</v>
      </c>
      <c r="Y56" s="49">
        <f t="shared" si="91"/>
        <v>906822.74998147995</v>
      </c>
      <c r="Z56" s="49">
        <f t="shared" si="69"/>
        <v>203068.74953699997</v>
      </c>
      <c r="AA56" s="49">
        <f t="shared" si="92"/>
        <v>406134.08754629997</v>
      </c>
      <c r="AB56" s="49">
        <f t="shared" si="93"/>
        <v>406134.08754629997</v>
      </c>
      <c r="AC56" s="49">
        <f t="shared" si="94"/>
        <v>48736.11</v>
      </c>
      <c r="AD56" s="50">
        <f t="shared" si="95"/>
        <v>1064073.0346295999</v>
      </c>
      <c r="AE56" s="51">
        <f t="shared" si="5"/>
        <v>0</v>
      </c>
      <c r="AF56" s="52">
        <v>0</v>
      </c>
      <c r="AG56" s="53">
        <f t="shared" si="23"/>
        <v>6924507</v>
      </c>
      <c r="AH56" s="53">
        <f t="shared" si="6"/>
        <v>6924507</v>
      </c>
      <c r="AI56" s="50">
        <v>0</v>
      </c>
      <c r="AJ56" s="50">
        <f t="shared" si="7"/>
        <v>0</v>
      </c>
      <c r="AK56" s="50">
        <f t="shared" si="96"/>
        <v>6924507</v>
      </c>
      <c r="AL56" s="50">
        <f t="shared" si="97"/>
        <v>0</v>
      </c>
      <c r="AM56" s="50">
        <f t="shared" si="98"/>
        <v>6924507</v>
      </c>
      <c r="AN56" s="50">
        <f t="shared" si="11"/>
        <v>6924507</v>
      </c>
      <c r="AO56" s="54">
        <f t="shared" si="12"/>
        <v>34622535</v>
      </c>
      <c r="AQ56" s="15">
        <f t="shared" si="24"/>
        <v>41547042</v>
      </c>
      <c r="AR56" s="55"/>
    </row>
    <row r="57" spans="2:44" ht="15" customHeight="1" outlineLevel="2" x14ac:dyDescent="0.25">
      <c r="B57" s="42">
        <v>4512603</v>
      </c>
      <c r="C57" s="41">
        <f t="shared" ref="C57:C59" si="101">4.5%+3.5%</f>
        <v>0.08</v>
      </c>
      <c r="D57" s="56">
        <f t="shared" si="27"/>
        <v>361008.24</v>
      </c>
      <c r="E57" s="42">
        <f t="shared" si="99"/>
        <v>4873611</v>
      </c>
      <c r="F57" s="42" t="s">
        <v>47</v>
      </c>
      <c r="G57" s="43">
        <v>1</v>
      </c>
      <c r="H57" s="57" t="s">
        <v>94</v>
      </c>
      <c r="I57" s="42">
        <f t="shared" si="100"/>
        <v>4873611</v>
      </c>
      <c r="J57" s="45">
        <v>30</v>
      </c>
      <c r="K57" s="46">
        <f t="shared" si="86"/>
        <v>4873611</v>
      </c>
      <c r="L57" s="47">
        <f t="shared" si="1"/>
        <v>0</v>
      </c>
      <c r="M57" s="46">
        <v>0</v>
      </c>
      <c r="N57" s="46">
        <v>0</v>
      </c>
      <c r="O57" s="46">
        <f t="shared" si="2"/>
        <v>4873611</v>
      </c>
      <c r="P57" s="47">
        <v>0</v>
      </c>
      <c r="Q57" s="47">
        <v>80000</v>
      </c>
      <c r="R57" s="48">
        <f t="shared" si="3"/>
        <v>30</v>
      </c>
      <c r="S57" s="46">
        <f t="shared" si="4"/>
        <v>4873611</v>
      </c>
      <c r="T57" s="49">
        <f t="shared" si="87"/>
        <v>0</v>
      </c>
      <c r="U57" s="49">
        <f t="shared" si="88"/>
        <v>584900</v>
      </c>
      <c r="V57" s="49">
        <f t="shared" si="89"/>
        <v>118800</v>
      </c>
      <c r="W57" s="49">
        <f t="shared" si="90"/>
        <v>195000</v>
      </c>
      <c r="X57" s="49">
        <f t="shared" si="17"/>
        <v>8122.7499814799985</v>
      </c>
      <c r="Y57" s="49">
        <f t="shared" si="91"/>
        <v>906822.74998147995</v>
      </c>
      <c r="Z57" s="49">
        <f t="shared" si="69"/>
        <v>203068.74953699997</v>
      </c>
      <c r="AA57" s="49">
        <f t="shared" si="92"/>
        <v>406134.08754629997</v>
      </c>
      <c r="AB57" s="49">
        <f t="shared" si="93"/>
        <v>406134.08754629997</v>
      </c>
      <c r="AC57" s="49">
        <f t="shared" si="94"/>
        <v>48736.11</v>
      </c>
      <c r="AD57" s="50">
        <f t="shared" si="95"/>
        <v>1064073.0346295999</v>
      </c>
      <c r="AE57" s="51">
        <f t="shared" si="5"/>
        <v>0</v>
      </c>
      <c r="AF57" s="52">
        <v>0</v>
      </c>
      <c r="AG57" s="53">
        <f t="shared" si="23"/>
        <v>6924507</v>
      </c>
      <c r="AH57" s="53">
        <f t="shared" si="6"/>
        <v>6924507</v>
      </c>
      <c r="AI57" s="50">
        <v>0</v>
      </c>
      <c r="AJ57" s="50">
        <f t="shared" si="7"/>
        <v>0</v>
      </c>
      <c r="AK57" s="50">
        <f t="shared" si="96"/>
        <v>6924507</v>
      </c>
      <c r="AL57" s="50">
        <f t="shared" si="97"/>
        <v>0</v>
      </c>
      <c r="AM57" s="50">
        <f t="shared" si="98"/>
        <v>6924507</v>
      </c>
      <c r="AN57" s="50">
        <f t="shared" si="11"/>
        <v>6924507</v>
      </c>
      <c r="AO57" s="54">
        <f t="shared" si="12"/>
        <v>34622535</v>
      </c>
      <c r="AQ57" s="15">
        <f t="shared" si="24"/>
        <v>41547042</v>
      </c>
      <c r="AR57" s="55"/>
    </row>
    <row r="58" spans="2:44" ht="22.5" customHeight="1" outlineLevel="2" x14ac:dyDescent="0.25">
      <c r="B58" s="42">
        <v>4512603</v>
      </c>
      <c r="C58" s="41">
        <f t="shared" si="101"/>
        <v>0.08</v>
      </c>
      <c r="D58" s="56">
        <f t="shared" si="27"/>
        <v>361008.24</v>
      </c>
      <c r="E58" s="42">
        <f t="shared" si="99"/>
        <v>4873611</v>
      </c>
      <c r="F58" s="42" t="s">
        <v>47</v>
      </c>
      <c r="G58" s="43">
        <v>1</v>
      </c>
      <c r="H58" s="57" t="s">
        <v>95</v>
      </c>
      <c r="I58" s="42">
        <f t="shared" si="100"/>
        <v>4873611</v>
      </c>
      <c r="J58" s="45">
        <v>30</v>
      </c>
      <c r="K58" s="46">
        <f t="shared" si="86"/>
        <v>4873611</v>
      </c>
      <c r="L58" s="47">
        <f t="shared" si="1"/>
        <v>0</v>
      </c>
      <c r="M58" s="46">
        <v>0</v>
      </c>
      <c r="N58" s="46">
        <v>0</v>
      </c>
      <c r="O58" s="46">
        <f t="shared" si="2"/>
        <v>4873611</v>
      </c>
      <c r="P58" s="47">
        <v>0</v>
      </c>
      <c r="Q58" s="47">
        <v>80000</v>
      </c>
      <c r="R58" s="48">
        <f t="shared" si="3"/>
        <v>30</v>
      </c>
      <c r="S58" s="46">
        <f t="shared" si="4"/>
        <v>4873611</v>
      </c>
      <c r="T58" s="49">
        <f t="shared" si="87"/>
        <v>0</v>
      </c>
      <c r="U58" s="49">
        <f t="shared" si="88"/>
        <v>584900</v>
      </c>
      <c r="V58" s="49">
        <f t="shared" si="89"/>
        <v>118800</v>
      </c>
      <c r="W58" s="49">
        <f t="shared" si="90"/>
        <v>195000</v>
      </c>
      <c r="X58" s="49">
        <f t="shared" si="17"/>
        <v>8122.7499814799985</v>
      </c>
      <c r="Y58" s="49">
        <f t="shared" si="91"/>
        <v>906822.74998147995</v>
      </c>
      <c r="Z58" s="49">
        <f t="shared" si="69"/>
        <v>203068.74953699997</v>
      </c>
      <c r="AA58" s="49">
        <f t="shared" si="92"/>
        <v>406134.08754629997</v>
      </c>
      <c r="AB58" s="49">
        <f t="shared" si="93"/>
        <v>406134.08754629997</v>
      </c>
      <c r="AC58" s="49">
        <f t="shared" si="94"/>
        <v>48736.11</v>
      </c>
      <c r="AD58" s="50">
        <f t="shared" si="95"/>
        <v>1064073.0346295999</v>
      </c>
      <c r="AE58" s="51">
        <f t="shared" si="5"/>
        <v>0</v>
      </c>
      <c r="AF58" s="52">
        <v>0</v>
      </c>
      <c r="AG58" s="53">
        <f t="shared" si="23"/>
        <v>6924507</v>
      </c>
      <c r="AH58" s="53">
        <f t="shared" si="6"/>
        <v>6924507</v>
      </c>
      <c r="AI58" s="50">
        <v>0</v>
      </c>
      <c r="AJ58" s="50">
        <f t="shared" si="7"/>
        <v>0</v>
      </c>
      <c r="AK58" s="50">
        <f t="shared" si="96"/>
        <v>6924507</v>
      </c>
      <c r="AL58" s="50">
        <f t="shared" si="97"/>
        <v>0</v>
      </c>
      <c r="AM58" s="50">
        <f t="shared" si="98"/>
        <v>6924507</v>
      </c>
      <c r="AN58" s="50">
        <f t="shared" si="11"/>
        <v>6924507</v>
      </c>
      <c r="AO58" s="54">
        <f t="shared" si="12"/>
        <v>34622535</v>
      </c>
      <c r="AQ58" s="15">
        <f t="shared" si="24"/>
        <v>41547042</v>
      </c>
      <c r="AR58" s="55"/>
    </row>
    <row r="59" spans="2:44" ht="27.75" customHeight="1" outlineLevel="2" x14ac:dyDescent="0.25">
      <c r="B59" s="42">
        <v>4512603</v>
      </c>
      <c r="C59" s="41">
        <f t="shared" si="101"/>
        <v>0.08</v>
      </c>
      <c r="D59" s="56">
        <f t="shared" si="27"/>
        <v>361008.24</v>
      </c>
      <c r="E59" s="42">
        <f t="shared" si="99"/>
        <v>4873611</v>
      </c>
      <c r="F59" s="42" t="s">
        <v>47</v>
      </c>
      <c r="G59" s="43">
        <v>1</v>
      </c>
      <c r="H59" s="57" t="s">
        <v>96</v>
      </c>
      <c r="I59" s="42">
        <f t="shared" si="100"/>
        <v>4873611</v>
      </c>
      <c r="J59" s="45">
        <v>30</v>
      </c>
      <c r="K59" s="46">
        <f t="shared" si="86"/>
        <v>4873611</v>
      </c>
      <c r="L59" s="47">
        <f t="shared" si="1"/>
        <v>0</v>
      </c>
      <c r="M59" s="46">
        <v>0</v>
      </c>
      <c r="N59" s="46">
        <v>0</v>
      </c>
      <c r="O59" s="46">
        <f t="shared" si="2"/>
        <v>4873611</v>
      </c>
      <c r="P59" s="47">
        <v>0</v>
      </c>
      <c r="Q59" s="47">
        <v>80000</v>
      </c>
      <c r="R59" s="48">
        <f t="shared" si="3"/>
        <v>30</v>
      </c>
      <c r="S59" s="46">
        <f t="shared" si="4"/>
        <v>4873611</v>
      </c>
      <c r="T59" s="49">
        <f t="shared" si="87"/>
        <v>0</v>
      </c>
      <c r="U59" s="49">
        <f t="shared" si="88"/>
        <v>584900</v>
      </c>
      <c r="V59" s="49">
        <f t="shared" si="89"/>
        <v>118800</v>
      </c>
      <c r="W59" s="49">
        <f t="shared" si="90"/>
        <v>195000</v>
      </c>
      <c r="X59" s="49">
        <f t="shared" si="17"/>
        <v>8122.7499814799985</v>
      </c>
      <c r="Y59" s="49">
        <f t="shared" si="91"/>
        <v>906822.74998147995</v>
      </c>
      <c r="Z59" s="49">
        <f t="shared" si="69"/>
        <v>203068.74953699997</v>
      </c>
      <c r="AA59" s="49">
        <f t="shared" si="92"/>
        <v>406134.08754629997</v>
      </c>
      <c r="AB59" s="49">
        <f t="shared" si="93"/>
        <v>406134.08754629997</v>
      </c>
      <c r="AC59" s="49">
        <f t="shared" si="94"/>
        <v>48736.11</v>
      </c>
      <c r="AD59" s="50">
        <f t="shared" si="95"/>
        <v>1064073.0346295999</v>
      </c>
      <c r="AE59" s="51">
        <f t="shared" si="5"/>
        <v>0</v>
      </c>
      <c r="AF59" s="52">
        <v>0</v>
      </c>
      <c r="AG59" s="53">
        <f t="shared" si="23"/>
        <v>6924507</v>
      </c>
      <c r="AH59" s="53">
        <f t="shared" si="6"/>
        <v>6924507</v>
      </c>
      <c r="AI59" s="50">
        <v>0</v>
      </c>
      <c r="AJ59" s="50">
        <f t="shared" si="7"/>
        <v>0</v>
      </c>
      <c r="AK59" s="50">
        <f t="shared" si="96"/>
        <v>6924507</v>
      </c>
      <c r="AL59" s="50">
        <f t="shared" si="97"/>
        <v>0</v>
      </c>
      <c r="AM59" s="50">
        <f t="shared" si="98"/>
        <v>6924507</v>
      </c>
      <c r="AN59" s="50">
        <f t="shared" si="11"/>
        <v>6924507</v>
      </c>
      <c r="AO59" s="54">
        <f t="shared" si="12"/>
        <v>34622535</v>
      </c>
      <c r="AQ59" s="15">
        <f t="shared" si="24"/>
        <v>41547042</v>
      </c>
      <c r="AR59" s="55"/>
    </row>
    <row r="60" spans="2:44" ht="27.75" customHeight="1" outlineLevel="2" x14ac:dyDescent="0.25">
      <c r="B60" s="42">
        <v>4512603</v>
      </c>
      <c r="C60" s="41">
        <v>4.4999999999999998E-2</v>
      </c>
      <c r="D60" s="56">
        <f t="shared" si="27"/>
        <v>203067.13499999998</v>
      </c>
      <c r="E60" s="42">
        <f t="shared" si="99"/>
        <v>4715670</v>
      </c>
      <c r="F60" s="42" t="s">
        <v>47</v>
      </c>
      <c r="G60" s="43">
        <v>8</v>
      </c>
      <c r="H60" s="57" t="s">
        <v>97</v>
      </c>
      <c r="I60" s="42">
        <f t="shared" si="100"/>
        <v>4715670</v>
      </c>
      <c r="J60" s="45">
        <v>30</v>
      </c>
      <c r="K60" s="46">
        <f t="shared" si="86"/>
        <v>4715670</v>
      </c>
      <c r="L60" s="47">
        <f t="shared" si="1"/>
        <v>0</v>
      </c>
      <c r="M60" s="46">
        <v>0</v>
      </c>
      <c r="N60" s="46">
        <v>0</v>
      </c>
      <c r="O60" s="46">
        <f t="shared" si="2"/>
        <v>4715670</v>
      </c>
      <c r="P60" s="47">
        <v>0</v>
      </c>
      <c r="Q60" s="47">
        <v>80000</v>
      </c>
      <c r="R60" s="48">
        <f t="shared" si="3"/>
        <v>30</v>
      </c>
      <c r="S60" s="46">
        <f t="shared" si="4"/>
        <v>4715670</v>
      </c>
      <c r="T60" s="49">
        <f t="shared" si="87"/>
        <v>0</v>
      </c>
      <c r="U60" s="49">
        <f t="shared" si="88"/>
        <v>565900</v>
      </c>
      <c r="V60" s="49">
        <f t="shared" si="89"/>
        <v>114900</v>
      </c>
      <c r="W60" s="49">
        <f t="shared" si="90"/>
        <v>188700</v>
      </c>
      <c r="X60" s="49">
        <f t="shared" si="17"/>
        <v>7859.5128755999995</v>
      </c>
      <c r="Y60" s="49">
        <f t="shared" si="91"/>
        <v>877359.51287560002</v>
      </c>
      <c r="Z60" s="49">
        <f t="shared" si="69"/>
        <v>196487.82188999999</v>
      </c>
      <c r="AA60" s="49">
        <f t="shared" si="92"/>
        <v>392972.34281100001</v>
      </c>
      <c r="AB60" s="49">
        <f t="shared" si="93"/>
        <v>392972.34281100001</v>
      </c>
      <c r="AC60" s="49">
        <f t="shared" si="94"/>
        <v>47156.700000000004</v>
      </c>
      <c r="AD60" s="50">
        <f t="shared" si="95"/>
        <v>1029589.2075119999</v>
      </c>
      <c r="AE60" s="51">
        <f t="shared" si="5"/>
        <v>0</v>
      </c>
      <c r="AF60" s="52">
        <v>0</v>
      </c>
      <c r="AG60" s="53">
        <f t="shared" si="23"/>
        <v>6702619</v>
      </c>
      <c r="AH60" s="53">
        <f t="shared" si="6"/>
        <v>53620952</v>
      </c>
      <c r="AI60" s="50">
        <v>0</v>
      </c>
      <c r="AJ60" s="50">
        <f t="shared" si="7"/>
        <v>0</v>
      </c>
      <c r="AK60" s="50">
        <f t="shared" si="96"/>
        <v>6702619</v>
      </c>
      <c r="AL60" s="50">
        <f t="shared" si="97"/>
        <v>0</v>
      </c>
      <c r="AM60" s="50">
        <f t="shared" si="98"/>
        <v>6702619</v>
      </c>
      <c r="AN60" s="50">
        <f t="shared" si="11"/>
        <v>53620952</v>
      </c>
      <c r="AO60" s="54">
        <f t="shared" si="12"/>
        <v>268104760</v>
      </c>
      <c r="AQ60" s="15">
        <f t="shared" si="24"/>
        <v>321725712</v>
      </c>
      <c r="AR60" s="55"/>
    </row>
    <row r="61" spans="2:44" ht="26.25" customHeight="1" outlineLevel="2" x14ac:dyDescent="0.25">
      <c r="B61" s="42">
        <v>4512603</v>
      </c>
      <c r="C61" s="41">
        <f>4.5%+3.5%</f>
        <v>0.08</v>
      </c>
      <c r="D61" s="56">
        <f t="shared" si="27"/>
        <v>361008.24</v>
      </c>
      <c r="E61" s="42">
        <f t="shared" si="99"/>
        <v>4873611</v>
      </c>
      <c r="F61" s="42" t="s">
        <v>47</v>
      </c>
      <c r="G61" s="43">
        <v>1</v>
      </c>
      <c r="H61" s="57" t="s">
        <v>98</v>
      </c>
      <c r="I61" s="42">
        <f t="shared" si="100"/>
        <v>4873611</v>
      </c>
      <c r="J61" s="45">
        <v>30</v>
      </c>
      <c r="K61" s="46">
        <f t="shared" si="86"/>
        <v>4873611</v>
      </c>
      <c r="L61" s="47">
        <f t="shared" si="1"/>
        <v>0</v>
      </c>
      <c r="M61" s="46">
        <v>0</v>
      </c>
      <c r="N61" s="46">
        <v>0</v>
      </c>
      <c r="O61" s="46">
        <f t="shared" si="2"/>
        <v>4873611</v>
      </c>
      <c r="P61" s="47">
        <v>0</v>
      </c>
      <c r="Q61" s="47">
        <v>80000</v>
      </c>
      <c r="R61" s="48">
        <f t="shared" si="3"/>
        <v>30</v>
      </c>
      <c r="S61" s="46">
        <f t="shared" si="4"/>
        <v>4873611</v>
      </c>
      <c r="T61" s="49">
        <f t="shared" si="87"/>
        <v>0</v>
      </c>
      <c r="U61" s="49">
        <f t="shared" si="88"/>
        <v>584900</v>
      </c>
      <c r="V61" s="49">
        <f t="shared" si="89"/>
        <v>118800</v>
      </c>
      <c r="W61" s="49">
        <f t="shared" si="90"/>
        <v>195000</v>
      </c>
      <c r="X61" s="49">
        <f t="shared" si="17"/>
        <v>8122.7499814799985</v>
      </c>
      <c r="Y61" s="49">
        <f t="shared" si="91"/>
        <v>906822.74998147995</v>
      </c>
      <c r="Z61" s="49">
        <f t="shared" si="69"/>
        <v>203068.74953699997</v>
      </c>
      <c r="AA61" s="49">
        <f t="shared" si="92"/>
        <v>406134.08754629997</v>
      </c>
      <c r="AB61" s="49">
        <f t="shared" si="93"/>
        <v>406134.08754629997</v>
      </c>
      <c r="AC61" s="49">
        <f t="shared" si="94"/>
        <v>48736.11</v>
      </c>
      <c r="AD61" s="50">
        <f t="shared" si="95"/>
        <v>1064073.0346295999</v>
      </c>
      <c r="AE61" s="51">
        <f t="shared" si="5"/>
        <v>0</v>
      </c>
      <c r="AF61" s="52">
        <v>0</v>
      </c>
      <c r="AG61" s="53">
        <f t="shared" si="23"/>
        <v>6924507</v>
      </c>
      <c r="AH61" s="53">
        <f t="shared" si="6"/>
        <v>6924507</v>
      </c>
      <c r="AI61" s="50">
        <v>0</v>
      </c>
      <c r="AJ61" s="50">
        <f t="shared" si="7"/>
        <v>0</v>
      </c>
      <c r="AK61" s="50">
        <f t="shared" si="96"/>
        <v>6924507</v>
      </c>
      <c r="AL61" s="50">
        <f t="shared" si="97"/>
        <v>0</v>
      </c>
      <c r="AM61" s="50">
        <f t="shared" si="98"/>
        <v>6924507</v>
      </c>
      <c r="AN61" s="50">
        <f t="shared" si="11"/>
        <v>6924507</v>
      </c>
      <c r="AO61" s="54">
        <f t="shared" si="12"/>
        <v>34622535</v>
      </c>
      <c r="AQ61" s="15">
        <f t="shared" si="24"/>
        <v>41547042</v>
      </c>
      <c r="AR61" s="55"/>
    </row>
    <row r="62" spans="2:44" ht="15" customHeight="1" outlineLevel="2" x14ac:dyDescent="0.25">
      <c r="B62" s="42">
        <v>4512603</v>
      </c>
      <c r="C62" s="41">
        <f t="shared" ref="C62:C64" si="102">4.5%+3.5%</f>
        <v>0.08</v>
      </c>
      <c r="D62" s="56">
        <f t="shared" si="27"/>
        <v>361008.24</v>
      </c>
      <c r="E62" s="42">
        <f t="shared" si="99"/>
        <v>4873611</v>
      </c>
      <c r="F62" s="42" t="s">
        <v>47</v>
      </c>
      <c r="G62" s="43">
        <v>1</v>
      </c>
      <c r="H62" s="57" t="s">
        <v>99</v>
      </c>
      <c r="I62" s="42">
        <f t="shared" si="100"/>
        <v>4873611</v>
      </c>
      <c r="J62" s="45">
        <v>30</v>
      </c>
      <c r="K62" s="46">
        <f t="shared" si="86"/>
        <v>4873611</v>
      </c>
      <c r="L62" s="47">
        <f t="shared" si="1"/>
        <v>0</v>
      </c>
      <c r="M62" s="46">
        <v>0</v>
      </c>
      <c r="N62" s="46">
        <v>0</v>
      </c>
      <c r="O62" s="46">
        <f t="shared" si="2"/>
        <v>4873611</v>
      </c>
      <c r="P62" s="47">
        <v>0</v>
      </c>
      <c r="Q62" s="47">
        <v>80000</v>
      </c>
      <c r="R62" s="48">
        <f t="shared" si="3"/>
        <v>30</v>
      </c>
      <c r="S62" s="46">
        <f t="shared" si="4"/>
        <v>4873611</v>
      </c>
      <c r="T62" s="49">
        <f t="shared" si="87"/>
        <v>0</v>
      </c>
      <c r="U62" s="49">
        <f t="shared" si="88"/>
        <v>584900</v>
      </c>
      <c r="V62" s="49">
        <f t="shared" si="89"/>
        <v>118800</v>
      </c>
      <c r="W62" s="49">
        <f t="shared" si="90"/>
        <v>195000</v>
      </c>
      <c r="X62" s="49">
        <f t="shared" si="17"/>
        <v>8122.7499814799985</v>
      </c>
      <c r="Y62" s="49">
        <f t="shared" si="91"/>
        <v>906822.74998147995</v>
      </c>
      <c r="Z62" s="49">
        <f t="shared" si="69"/>
        <v>203068.74953699997</v>
      </c>
      <c r="AA62" s="49">
        <f t="shared" si="92"/>
        <v>406134.08754629997</v>
      </c>
      <c r="AB62" s="49">
        <f t="shared" si="93"/>
        <v>406134.08754629997</v>
      </c>
      <c r="AC62" s="49">
        <f t="shared" si="94"/>
        <v>48736.11</v>
      </c>
      <c r="AD62" s="50">
        <f t="shared" si="95"/>
        <v>1064073.0346295999</v>
      </c>
      <c r="AE62" s="51">
        <f t="shared" si="5"/>
        <v>0</v>
      </c>
      <c r="AF62" s="52">
        <v>0</v>
      </c>
      <c r="AG62" s="53">
        <f t="shared" si="23"/>
        <v>6924507</v>
      </c>
      <c r="AH62" s="53">
        <f t="shared" si="6"/>
        <v>6924507</v>
      </c>
      <c r="AI62" s="50">
        <v>0</v>
      </c>
      <c r="AJ62" s="50">
        <f t="shared" si="7"/>
        <v>0</v>
      </c>
      <c r="AK62" s="50">
        <f t="shared" si="96"/>
        <v>6924507</v>
      </c>
      <c r="AL62" s="50">
        <f t="shared" si="97"/>
        <v>0</v>
      </c>
      <c r="AM62" s="50">
        <f t="shared" si="98"/>
        <v>6924507</v>
      </c>
      <c r="AN62" s="50">
        <f t="shared" si="11"/>
        <v>6924507</v>
      </c>
      <c r="AO62" s="54">
        <f t="shared" si="12"/>
        <v>34622535</v>
      </c>
      <c r="AQ62" s="15">
        <f t="shared" si="24"/>
        <v>41547042</v>
      </c>
      <c r="AR62" s="55"/>
    </row>
    <row r="63" spans="2:44" ht="26.25" customHeight="1" outlineLevel="2" x14ac:dyDescent="0.25">
      <c r="B63" s="42">
        <v>4512603</v>
      </c>
      <c r="C63" s="41">
        <f t="shared" si="102"/>
        <v>0.08</v>
      </c>
      <c r="D63" s="56">
        <f t="shared" si="27"/>
        <v>361008.24</v>
      </c>
      <c r="E63" s="42">
        <f t="shared" si="99"/>
        <v>4873611</v>
      </c>
      <c r="F63" s="42" t="s">
        <v>47</v>
      </c>
      <c r="G63" s="43">
        <v>1</v>
      </c>
      <c r="H63" s="57" t="s">
        <v>100</v>
      </c>
      <c r="I63" s="42">
        <f t="shared" si="100"/>
        <v>4873611</v>
      </c>
      <c r="J63" s="45">
        <v>30</v>
      </c>
      <c r="K63" s="46">
        <f t="shared" si="86"/>
        <v>4873611</v>
      </c>
      <c r="L63" s="47">
        <f t="shared" si="1"/>
        <v>0</v>
      </c>
      <c r="M63" s="46">
        <v>0</v>
      </c>
      <c r="N63" s="46">
        <v>0</v>
      </c>
      <c r="O63" s="46">
        <f t="shared" si="2"/>
        <v>4873611</v>
      </c>
      <c r="P63" s="47">
        <v>0</v>
      </c>
      <c r="Q63" s="47">
        <v>80000</v>
      </c>
      <c r="R63" s="48">
        <f t="shared" si="3"/>
        <v>30</v>
      </c>
      <c r="S63" s="46">
        <f t="shared" si="4"/>
        <v>4873611</v>
      </c>
      <c r="T63" s="49">
        <f t="shared" si="87"/>
        <v>0</v>
      </c>
      <c r="U63" s="49">
        <f t="shared" si="88"/>
        <v>584900</v>
      </c>
      <c r="V63" s="49">
        <f t="shared" si="89"/>
        <v>118800</v>
      </c>
      <c r="W63" s="49">
        <f t="shared" si="90"/>
        <v>195000</v>
      </c>
      <c r="X63" s="49">
        <f t="shared" si="17"/>
        <v>8122.7499814799985</v>
      </c>
      <c r="Y63" s="49">
        <f t="shared" si="91"/>
        <v>906822.74998147995</v>
      </c>
      <c r="Z63" s="49">
        <f t="shared" si="69"/>
        <v>203068.74953699997</v>
      </c>
      <c r="AA63" s="49">
        <f t="shared" si="92"/>
        <v>406134.08754629997</v>
      </c>
      <c r="AB63" s="49">
        <f t="shared" si="93"/>
        <v>406134.08754629997</v>
      </c>
      <c r="AC63" s="49">
        <f t="shared" si="94"/>
        <v>48736.11</v>
      </c>
      <c r="AD63" s="50">
        <f t="shared" si="95"/>
        <v>1064073.0346295999</v>
      </c>
      <c r="AE63" s="51">
        <f t="shared" si="5"/>
        <v>0</v>
      </c>
      <c r="AF63" s="52">
        <v>0</v>
      </c>
      <c r="AG63" s="53">
        <f t="shared" si="23"/>
        <v>6924507</v>
      </c>
      <c r="AH63" s="53">
        <f t="shared" si="6"/>
        <v>6924507</v>
      </c>
      <c r="AI63" s="50">
        <v>0</v>
      </c>
      <c r="AJ63" s="50">
        <f t="shared" si="7"/>
        <v>0</v>
      </c>
      <c r="AK63" s="50">
        <f t="shared" si="96"/>
        <v>6924507</v>
      </c>
      <c r="AL63" s="50">
        <f t="shared" si="97"/>
        <v>0</v>
      </c>
      <c r="AM63" s="50">
        <f t="shared" si="98"/>
        <v>6924507</v>
      </c>
      <c r="AN63" s="50">
        <f t="shared" si="11"/>
        <v>6924507</v>
      </c>
      <c r="AO63" s="54">
        <f t="shared" si="12"/>
        <v>34622535</v>
      </c>
      <c r="AQ63" s="15">
        <f t="shared" si="24"/>
        <v>41547042</v>
      </c>
      <c r="AR63" s="55"/>
    </row>
    <row r="64" spans="2:44" ht="26.25" customHeight="1" outlineLevel="2" x14ac:dyDescent="0.25">
      <c r="B64" s="42">
        <v>4512603</v>
      </c>
      <c r="C64" s="41">
        <f t="shared" si="102"/>
        <v>0.08</v>
      </c>
      <c r="D64" s="56">
        <f t="shared" si="27"/>
        <v>361008.24</v>
      </c>
      <c r="E64" s="42">
        <f t="shared" si="99"/>
        <v>4873611</v>
      </c>
      <c r="F64" s="42" t="s">
        <v>47</v>
      </c>
      <c r="G64" s="43">
        <v>1</v>
      </c>
      <c r="H64" s="57" t="s">
        <v>101</v>
      </c>
      <c r="I64" s="42">
        <f t="shared" si="100"/>
        <v>4873611</v>
      </c>
      <c r="J64" s="45">
        <v>30</v>
      </c>
      <c r="K64" s="46">
        <f t="shared" si="86"/>
        <v>4873611</v>
      </c>
      <c r="L64" s="47">
        <f t="shared" si="1"/>
        <v>0</v>
      </c>
      <c r="M64" s="46">
        <v>0</v>
      </c>
      <c r="N64" s="46">
        <v>0</v>
      </c>
      <c r="O64" s="46">
        <f t="shared" si="2"/>
        <v>4873611</v>
      </c>
      <c r="P64" s="47">
        <v>0</v>
      </c>
      <c r="Q64" s="47">
        <v>80000</v>
      </c>
      <c r="R64" s="48">
        <f t="shared" si="3"/>
        <v>30</v>
      </c>
      <c r="S64" s="46">
        <f t="shared" si="4"/>
        <v>4873611</v>
      </c>
      <c r="T64" s="49">
        <f t="shared" si="87"/>
        <v>0</v>
      </c>
      <c r="U64" s="49">
        <f t="shared" si="88"/>
        <v>584900</v>
      </c>
      <c r="V64" s="49">
        <f t="shared" si="89"/>
        <v>118800</v>
      </c>
      <c r="W64" s="49">
        <f t="shared" si="90"/>
        <v>195000</v>
      </c>
      <c r="X64" s="49">
        <f t="shared" si="17"/>
        <v>8122.7499814799985</v>
      </c>
      <c r="Y64" s="49">
        <f t="shared" si="91"/>
        <v>906822.74998147995</v>
      </c>
      <c r="Z64" s="49">
        <f t="shared" si="69"/>
        <v>203068.74953699997</v>
      </c>
      <c r="AA64" s="49">
        <f t="shared" si="92"/>
        <v>406134.08754629997</v>
      </c>
      <c r="AB64" s="49">
        <f t="shared" si="93"/>
        <v>406134.08754629997</v>
      </c>
      <c r="AC64" s="49">
        <f t="shared" si="94"/>
        <v>48736.11</v>
      </c>
      <c r="AD64" s="50">
        <f t="shared" si="95"/>
        <v>1064073.0346295999</v>
      </c>
      <c r="AE64" s="51">
        <f t="shared" si="5"/>
        <v>0</v>
      </c>
      <c r="AF64" s="52">
        <v>0</v>
      </c>
      <c r="AG64" s="53">
        <f t="shared" si="23"/>
        <v>6924507</v>
      </c>
      <c r="AH64" s="53">
        <f t="shared" si="6"/>
        <v>6924507</v>
      </c>
      <c r="AI64" s="50">
        <v>0</v>
      </c>
      <c r="AJ64" s="50">
        <f t="shared" si="7"/>
        <v>0</v>
      </c>
      <c r="AK64" s="50">
        <f t="shared" si="96"/>
        <v>6924507</v>
      </c>
      <c r="AL64" s="50">
        <f t="shared" si="97"/>
        <v>0</v>
      </c>
      <c r="AM64" s="50">
        <f t="shared" si="98"/>
        <v>6924507</v>
      </c>
      <c r="AN64" s="50">
        <f t="shared" si="11"/>
        <v>6924507</v>
      </c>
      <c r="AO64" s="54">
        <f t="shared" si="12"/>
        <v>34622535</v>
      </c>
      <c r="AQ64" s="15">
        <f t="shared" si="24"/>
        <v>41547042</v>
      </c>
      <c r="AR64" s="55"/>
    </row>
    <row r="65" spans="2:45" ht="15" customHeight="1" outlineLevel="2" x14ac:dyDescent="0.25">
      <c r="B65" s="42">
        <v>3912300</v>
      </c>
      <c r="C65" s="41">
        <v>4.4999999999999998E-2</v>
      </c>
      <c r="D65" s="56">
        <f t="shared" si="27"/>
        <v>176053.5</v>
      </c>
      <c r="E65" s="42">
        <f t="shared" si="28"/>
        <v>4088354</v>
      </c>
      <c r="F65" s="42" t="s">
        <v>47</v>
      </c>
      <c r="G65" s="43">
        <v>1</v>
      </c>
      <c r="H65" s="44" t="s">
        <v>102</v>
      </c>
      <c r="I65" s="42">
        <f t="shared" si="13"/>
        <v>4088354</v>
      </c>
      <c r="J65" s="45">
        <v>30</v>
      </c>
      <c r="K65" s="46">
        <f t="shared" si="86"/>
        <v>4088354</v>
      </c>
      <c r="L65" s="47">
        <f t="shared" si="1"/>
        <v>0</v>
      </c>
      <c r="M65" s="46">
        <v>0</v>
      </c>
      <c r="N65" s="46">
        <v>0</v>
      </c>
      <c r="O65" s="46">
        <f t="shared" si="2"/>
        <v>4088354</v>
      </c>
      <c r="P65" s="47">
        <v>0</v>
      </c>
      <c r="Q65" s="47">
        <v>80000</v>
      </c>
      <c r="R65" s="48">
        <f t="shared" si="3"/>
        <v>30</v>
      </c>
      <c r="S65" s="46">
        <f t="shared" si="4"/>
        <v>4088354</v>
      </c>
      <c r="T65" s="49">
        <f t="shared" si="87"/>
        <v>0</v>
      </c>
      <c r="U65" s="49">
        <f t="shared" si="88"/>
        <v>490700</v>
      </c>
      <c r="V65" s="49">
        <f t="shared" si="89"/>
        <v>99600</v>
      </c>
      <c r="W65" s="49">
        <f t="shared" si="90"/>
        <v>163600</v>
      </c>
      <c r="X65" s="49">
        <f t="shared" si="17"/>
        <v>6813.9778447199997</v>
      </c>
      <c r="Y65" s="49">
        <f t="shared" si="91"/>
        <v>760713.97784472001</v>
      </c>
      <c r="Z65" s="49">
        <f t="shared" si="69"/>
        <v>170349.44611799999</v>
      </c>
      <c r="AA65" s="49">
        <f t="shared" si="92"/>
        <v>340696.03038820002</v>
      </c>
      <c r="AB65" s="49">
        <f t="shared" si="93"/>
        <v>340696.03038820002</v>
      </c>
      <c r="AC65" s="49">
        <f t="shared" si="94"/>
        <v>40883.54</v>
      </c>
      <c r="AD65" s="50">
        <f t="shared" si="95"/>
        <v>892625.04689440015</v>
      </c>
      <c r="AE65" s="51">
        <f t="shared" si="5"/>
        <v>0</v>
      </c>
      <c r="AF65" s="52">
        <v>0</v>
      </c>
      <c r="AG65" s="53">
        <f t="shared" si="23"/>
        <v>5821693</v>
      </c>
      <c r="AH65" s="53">
        <f t="shared" si="6"/>
        <v>5821693</v>
      </c>
      <c r="AI65" s="50">
        <v>0</v>
      </c>
      <c r="AJ65" s="50">
        <f t="shared" si="7"/>
        <v>0</v>
      </c>
      <c r="AK65" s="50">
        <f t="shared" si="96"/>
        <v>5821693</v>
      </c>
      <c r="AL65" s="50">
        <f t="shared" si="97"/>
        <v>0</v>
      </c>
      <c r="AM65" s="50">
        <f t="shared" si="98"/>
        <v>5821693</v>
      </c>
      <c r="AN65" s="50">
        <f t="shared" si="11"/>
        <v>5821693</v>
      </c>
      <c r="AO65" s="54">
        <f t="shared" si="12"/>
        <v>29108465</v>
      </c>
      <c r="AQ65" s="15">
        <f t="shared" si="24"/>
        <v>34930158</v>
      </c>
      <c r="AR65" s="55"/>
    </row>
    <row r="66" spans="2:45" ht="15" customHeight="1" outlineLevel="2" x14ac:dyDescent="0.25">
      <c r="B66" s="42">
        <v>2555570</v>
      </c>
      <c r="C66" s="41">
        <v>4.4999999999999998E-2</v>
      </c>
      <c r="D66" s="56">
        <f t="shared" si="27"/>
        <v>115000.65</v>
      </c>
      <c r="E66" s="42">
        <f t="shared" si="28"/>
        <v>2670571</v>
      </c>
      <c r="F66" s="42" t="s">
        <v>47</v>
      </c>
      <c r="G66" s="43">
        <v>54</v>
      </c>
      <c r="H66" s="44" t="s">
        <v>103</v>
      </c>
      <c r="I66" s="42">
        <f t="shared" si="13"/>
        <v>2670571</v>
      </c>
      <c r="J66" s="45">
        <v>30</v>
      </c>
      <c r="K66" s="46">
        <f>I66/30*J66</f>
        <v>2670571</v>
      </c>
      <c r="L66" s="47">
        <f t="shared" si="1"/>
        <v>249094.99999999997</v>
      </c>
      <c r="M66" s="46">
        <v>0</v>
      </c>
      <c r="N66" s="46">
        <v>0</v>
      </c>
      <c r="O66" s="46">
        <f t="shared" si="2"/>
        <v>2919666</v>
      </c>
      <c r="P66" s="47">
        <v>0</v>
      </c>
      <c r="Q66" s="47">
        <v>80000</v>
      </c>
      <c r="R66" s="48">
        <f t="shared" si="3"/>
        <v>30</v>
      </c>
      <c r="S66" s="46">
        <f t="shared" si="4"/>
        <v>2670571</v>
      </c>
      <c r="T66" s="49">
        <f>CEILING(IF((O66+Q66)&gt;($E$2*10),S66*8%,0),100)</f>
        <v>0</v>
      </c>
      <c r="U66" s="49">
        <f>CEILING((S66)*12%,100)</f>
        <v>320500</v>
      </c>
      <c r="V66" s="49">
        <f>CEILING((S66)*2.436%,100)</f>
        <v>65100</v>
      </c>
      <c r="W66" s="49">
        <f>CEILING((S66)*4%,100)</f>
        <v>106900</v>
      </c>
      <c r="X66" s="49">
        <f t="shared" si="17"/>
        <v>4450.9872742799998</v>
      </c>
      <c r="Y66" s="49">
        <f>SUM(T66:X66)</f>
        <v>496950.98727427999</v>
      </c>
      <c r="Z66" s="49">
        <f t="shared" si="69"/>
        <v>111274.68185699999</v>
      </c>
      <c r="AA66" s="49">
        <f>+O66*8.33333%</f>
        <v>243305.40267780001</v>
      </c>
      <c r="AB66" s="49">
        <f>+O66*8.33333%</f>
        <v>243305.40267780001</v>
      </c>
      <c r="AC66" s="49">
        <f>+O66*1%</f>
        <v>29196.66</v>
      </c>
      <c r="AD66" s="50">
        <f>SUM(Z66:AC66)</f>
        <v>627082.1472126001</v>
      </c>
      <c r="AE66" s="51">
        <f t="shared" si="5"/>
        <v>0</v>
      </c>
      <c r="AF66" s="52">
        <v>0</v>
      </c>
      <c r="AG66" s="53">
        <f t="shared" si="23"/>
        <v>4123699</v>
      </c>
      <c r="AH66" s="53">
        <f t="shared" si="6"/>
        <v>222679746</v>
      </c>
      <c r="AI66" s="50">
        <v>0</v>
      </c>
      <c r="AJ66" s="50">
        <f t="shared" si="7"/>
        <v>0</v>
      </c>
      <c r="AK66" s="50">
        <f>+AG66+AI66</f>
        <v>4123699</v>
      </c>
      <c r="AL66" s="50">
        <f>+AI66*19%</f>
        <v>0</v>
      </c>
      <c r="AM66" s="50">
        <f>ROUND(AK66+AL66,0)</f>
        <v>4123699</v>
      </c>
      <c r="AN66" s="50">
        <f t="shared" si="11"/>
        <v>222679746</v>
      </c>
      <c r="AO66" s="54">
        <f t="shared" si="12"/>
        <v>1113398730</v>
      </c>
      <c r="AQ66" s="15">
        <f t="shared" si="24"/>
        <v>1336078476</v>
      </c>
      <c r="AR66" s="55"/>
    </row>
    <row r="67" spans="2:45" ht="15" customHeight="1" outlineLevel="2" x14ac:dyDescent="0.25">
      <c r="B67" s="42">
        <v>2921522</v>
      </c>
      <c r="C67" s="41">
        <v>4.4999999999999998E-2</v>
      </c>
      <c r="D67" s="56">
        <f t="shared" si="27"/>
        <v>131468.49</v>
      </c>
      <c r="E67" s="42">
        <f t="shared" si="28"/>
        <v>3052990</v>
      </c>
      <c r="F67" s="42" t="s">
        <v>47</v>
      </c>
      <c r="G67" s="43">
        <v>2</v>
      </c>
      <c r="H67" s="44" t="s">
        <v>104</v>
      </c>
      <c r="I67" s="42">
        <f t="shared" si="13"/>
        <v>3052990</v>
      </c>
      <c r="J67" s="45">
        <v>30</v>
      </c>
      <c r="K67" s="46">
        <f>I67/30*J67</f>
        <v>3052990</v>
      </c>
      <c r="L67" s="47">
        <f t="shared" si="1"/>
        <v>249094.99999999997</v>
      </c>
      <c r="M67" s="46">
        <v>0</v>
      </c>
      <c r="N67" s="46">
        <v>0</v>
      </c>
      <c r="O67" s="46">
        <f t="shared" si="2"/>
        <v>3302085</v>
      </c>
      <c r="P67" s="47">
        <v>0</v>
      </c>
      <c r="Q67" s="47">
        <v>80000</v>
      </c>
      <c r="R67" s="48">
        <f t="shared" si="3"/>
        <v>30</v>
      </c>
      <c r="S67" s="46">
        <f t="shared" si="4"/>
        <v>3052990</v>
      </c>
      <c r="T67" s="49">
        <f>CEILING(IF((O67+Q67)&gt;($E$2*10),S67*8%,0),100)</f>
        <v>0</v>
      </c>
      <c r="U67" s="49">
        <f>CEILING((S67)*12%,100)</f>
        <v>366400</v>
      </c>
      <c r="V67" s="49">
        <f>CEILING((S67)*2.436%,100)</f>
        <v>74400</v>
      </c>
      <c r="W67" s="49">
        <f>CEILING((S67)*4%,100)</f>
        <v>122200</v>
      </c>
      <c r="X67" s="49">
        <f t="shared" si="17"/>
        <v>5088.3573731999995</v>
      </c>
      <c r="Y67" s="49">
        <f>SUM(T67:X67)</f>
        <v>568088.35737320001</v>
      </c>
      <c r="Z67" s="49">
        <f t="shared" si="69"/>
        <v>127208.93432999999</v>
      </c>
      <c r="AA67" s="49">
        <f>+O67*8.33333%</f>
        <v>275173.63993050001</v>
      </c>
      <c r="AB67" s="49">
        <f>+O67*8.33333%</f>
        <v>275173.63993050001</v>
      </c>
      <c r="AC67" s="49">
        <f>+O67*1%</f>
        <v>33020.85</v>
      </c>
      <c r="AD67" s="50">
        <f>SUM(Z67:AC67)</f>
        <v>710577.06419099995</v>
      </c>
      <c r="AE67" s="51">
        <f t="shared" si="5"/>
        <v>0</v>
      </c>
      <c r="AF67" s="52">
        <v>0</v>
      </c>
      <c r="AG67" s="53">
        <f t="shared" si="23"/>
        <v>4660750</v>
      </c>
      <c r="AH67" s="53">
        <f t="shared" si="6"/>
        <v>9321500</v>
      </c>
      <c r="AI67" s="50">
        <v>0</v>
      </c>
      <c r="AJ67" s="50">
        <f t="shared" si="7"/>
        <v>0</v>
      </c>
      <c r="AK67" s="50">
        <f>+AG67+AI67</f>
        <v>4660750</v>
      </c>
      <c r="AL67" s="50">
        <f>+AI67*19%</f>
        <v>0</v>
      </c>
      <c r="AM67" s="50">
        <f>ROUND(AK67+AL67,0)</f>
        <v>4660750</v>
      </c>
      <c r="AN67" s="50">
        <f t="shared" si="11"/>
        <v>9321500</v>
      </c>
      <c r="AO67" s="54">
        <f t="shared" si="12"/>
        <v>46607500</v>
      </c>
      <c r="AQ67" s="15">
        <f t="shared" si="24"/>
        <v>55929000</v>
      </c>
      <c r="AR67" s="55"/>
    </row>
    <row r="68" spans="2:45" ht="15" customHeight="1" outlineLevel="2" x14ac:dyDescent="0.25">
      <c r="B68" s="42">
        <v>2260815</v>
      </c>
      <c r="C68" s="41">
        <v>4.4999999999999998E-2</v>
      </c>
      <c r="D68" s="56">
        <f t="shared" si="27"/>
        <v>101736.675</v>
      </c>
      <c r="E68" s="42">
        <f t="shared" si="28"/>
        <v>2362552</v>
      </c>
      <c r="F68" s="42" t="s">
        <v>47</v>
      </c>
      <c r="G68" s="43">
        <v>2</v>
      </c>
      <c r="H68" s="44" t="s">
        <v>105</v>
      </c>
      <c r="I68" s="42">
        <f t="shared" si="13"/>
        <v>2362552</v>
      </c>
      <c r="J68" s="45">
        <v>30</v>
      </c>
      <c r="K68" s="46">
        <f>I68/30*J68</f>
        <v>2362552</v>
      </c>
      <c r="L68" s="47">
        <f t="shared" si="1"/>
        <v>249094.99999999997</v>
      </c>
      <c r="M68" s="46">
        <v>0</v>
      </c>
      <c r="N68" s="46">
        <v>0</v>
      </c>
      <c r="O68" s="46">
        <f t="shared" si="2"/>
        <v>2611647</v>
      </c>
      <c r="P68" s="47">
        <v>0</v>
      </c>
      <c r="Q68" s="47">
        <v>80000</v>
      </c>
      <c r="R68" s="48">
        <f t="shared" si="3"/>
        <v>30</v>
      </c>
      <c r="S68" s="46">
        <f t="shared" si="4"/>
        <v>2362552</v>
      </c>
      <c r="T68" s="49">
        <f>CEILING(IF((O68+Q68)&gt;($E$2*10),S68*8%,0),100)</f>
        <v>0</v>
      </c>
      <c r="U68" s="49">
        <f>CEILING((S68)*12%,100)</f>
        <v>283600</v>
      </c>
      <c r="V68" s="49">
        <f>CEILING((S68)*2.436%,100)</f>
        <v>57600</v>
      </c>
      <c r="W68" s="49">
        <f>CEILING((S68)*4%,100)</f>
        <v>94600</v>
      </c>
      <c r="X68" s="49">
        <f t="shared" si="17"/>
        <v>3937.6181673599995</v>
      </c>
      <c r="Y68" s="49">
        <f>SUM(T68:X68)</f>
        <v>439737.61816736002</v>
      </c>
      <c r="Z68" s="49">
        <f t="shared" si="69"/>
        <v>98440.454183999987</v>
      </c>
      <c r="AA68" s="49">
        <f>+O68*8.33333%</f>
        <v>217637.16294509999</v>
      </c>
      <c r="AB68" s="49">
        <f>+O68*8.33333%</f>
        <v>217637.16294509999</v>
      </c>
      <c r="AC68" s="49">
        <f>+O68*1%</f>
        <v>26116.47</v>
      </c>
      <c r="AD68" s="50">
        <f>SUM(Z68:AC68)</f>
        <v>559831.25007419987</v>
      </c>
      <c r="AE68" s="51">
        <f t="shared" si="5"/>
        <v>0</v>
      </c>
      <c r="AF68" s="52">
        <v>0</v>
      </c>
      <c r="AG68" s="53">
        <f t="shared" si="23"/>
        <v>3691216</v>
      </c>
      <c r="AH68" s="53">
        <f t="shared" si="6"/>
        <v>7382432</v>
      </c>
      <c r="AI68" s="50">
        <v>0</v>
      </c>
      <c r="AJ68" s="50">
        <f t="shared" si="7"/>
        <v>0</v>
      </c>
      <c r="AK68" s="50">
        <f>+AG68+AI68</f>
        <v>3691216</v>
      </c>
      <c r="AL68" s="50">
        <f>+AI68*19%</f>
        <v>0</v>
      </c>
      <c r="AM68" s="50">
        <f>ROUND(AK68+AL68,0)</f>
        <v>3691216</v>
      </c>
      <c r="AN68" s="50">
        <f t="shared" si="11"/>
        <v>7382432</v>
      </c>
      <c r="AO68" s="54">
        <f t="shared" si="12"/>
        <v>36912160</v>
      </c>
      <c r="AQ68" s="15">
        <f t="shared" si="24"/>
        <v>44294592</v>
      </c>
      <c r="AR68" s="55"/>
    </row>
    <row r="69" spans="2:45" ht="15" customHeight="1" outlineLevel="2" x14ac:dyDescent="0.25">
      <c r="B69" s="42">
        <v>2856803</v>
      </c>
      <c r="C69" s="41">
        <v>4.4999999999999998E-2</v>
      </c>
      <c r="D69" s="56">
        <f t="shared" si="27"/>
        <v>128556.13499999999</v>
      </c>
      <c r="E69" s="42">
        <f t="shared" si="28"/>
        <v>2985359</v>
      </c>
      <c r="F69" s="42" t="s">
        <v>47</v>
      </c>
      <c r="G69" s="43">
        <v>21</v>
      </c>
      <c r="H69" s="44" t="s">
        <v>106</v>
      </c>
      <c r="I69" s="42">
        <f t="shared" si="13"/>
        <v>2985359</v>
      </c>
      <c r="J69" s="45">
        <v>30</v>
      </c>
      <c r="K69" s="46">
        <f>I69/30*J69</f>
        <v>2985359</v>
      </c>
      <c r="L69" s="47">
        <f t="shared" si="1"/>
        <v>249094.99999999997</v>
      </c>
      <c r="M69" s="46">
        <v>0</v>
      </c>
      <c r="N69" s="46">
        <v>0</v>
      </c>
      <c r="O69" s="46">
        <f t="shared" si="2"/>
        <v>3234454</v>
      </c>
      <c r="P69" s="47">
        <v>0</v>
      </c>
      <c r="Q69" s="47">
        <v>80000</v>
      </c>
      <c r="R69" s="48">
        <f t="shared" si="3"/>
        <v>30</v>
      </c>
      <c r="S69" s="46">
        <f t="shared" si="4"/>
        <v>2985359</v>
      </c>
      <c r="T69" s="49">
        <f>CEILING(IF((O69+Q69)&gt;($E$2*10),S69*8%,0),100)</f>
        <v>0</v>
      </c>
      <c r="U69" s="49">
        <f>CEILING((S69)*12%,100)+CEILING((S69)*10%,100)</f>
        <v>656900</v>
      </c>
      <c r="V69" s="49">
        <f>CEILING((S69)*6.96%,100)</f>
        <v>207800</v>
      </c>
      <c r="W69" s="49">
        <f>CEILING((S69)*4%,100)</f>
        <v>119500</v>
      </c>
      <c r="X69" s="49">
        <f t="shared" si="17"/>
        <v>9951.276276239998</v>
      </c>
      <c r="Y69" s="49">
        <f>SUM(T69:X69)</f>
        <v>994151.27627624001</v>
      </c>
      <c r="Z69" s="49">
        <f>((O69-L69)*4.1667%)*2</f>
        <v>248781.90690599996</v>
      </c>
      <c r="AA69" s="49">
        <f>+O69*8.33333%</f>
        <v>269537.72551820002</v>
      </c>
      <c r="AB69" s="49">
        <f>+O69*8.33333%</f>
        <v>269537.72551820002</v>
      </c>
      <c r="AC69" s="49">
        <f>+O69*1%</f>
        <v>32344.54</v>
      </c>
      <c r="AD69" s="50">
        <f>SUM(Z69:AC69)</f>
        <v>820201.89794240007</v>
      </c>
      <c r="AE69" s="51">
        <v>0</v>
      </c>
      <c r="AF69" s="52">
        <v>0</v>
      </c>
      <c r="AG69" s="53">
        <f t="shared" si="23"/>
        <v>5128807</v>
      </c>
      <c r="AH69" s="53">
        <f t="shared" si="6"/>
        <v>107704947</v>
      </c>
      <c r="AI69" s="50">
        <v>0</v>
      </c>
      <c r="AJ69" s="50">
        <f t="shared" si="7"/>
        <v>0</v>
      </c>
      <c r="AK69" s="50">
        <f>+AG69+AI69</f>
        <v>5128807</v>
      </c>
      <c r="AL69" s="50">
        <f>+AI69*19%</f>
        <v>0</v>
      </c>
      <c r="AM69" s="50">
        <f>ROUND(AK69+AL69,0)</f>
        <v>5128807</v>
      </c>
      <c r="AN69" s="50">
        <f t="shared" si="11"/>
        <v>107704947</v>
      </c>
      <c r="AO69" s="54">
        <f t="shared" si="12"/>
        <v>538524735</v>
      </c>
      <c r="AQ69" s="15">
        <f t="shared" si="24"/>
        <v>646229682</v>
      </c>
      <c r="AR69" s="55"/>
    </row>
    <row r="70" spans="2:45" ht="15" customHeight="1" outlineLevel="2" x14ac:dyDescent="0.25">
      <c r="B70" s="42">
        <v>3576960</v>
      </c>
      <c r="C70" s="41">
        <v>4.4999999999999998E-2</v>
      </c>
      <c r="D70" s="56">
        <f t="shared" si="27"/>
        <v>160963.19999999998</v>
      </c>
      <c r="E70" s="42">
        <f t="shared" si="28"/>
        <v>3737923</v>
      </c>
      <c r="F70" s="42" t="s">
        <v>47</v>
      </c>
      <c r="G70" s="43">
        <v>1</v>
      </c>
      <c r="H70" s="44" t="s">
        <v>107</v>
      </c>
      <c r="I70" s="42">
        <f t="shared" si="13"/>
        <v>3737923</v>
      </c>
      <c r="J70" s="45">
        <v>30</v>
      </c>
      <c r="K70" s="46">
        <f>I70/30*J70</f>
        <v>3737923</v>
      </c>
      <c r="L70" s="47">
        <f t="shared" si="1"/>
        <v>0</v>
      </c>
      <c r="M70" s="46">
        <v>0</v>
      </c>
      <c r="N70" s="46">
        <v>0</v>
      </c>
      <c r="O70" s="46">
        <f t="shared" si="2"/>
        <v>3737923</v>
      </c>
      <c r="P70" s="47">
        <v>0</v>
      </c>
      <c r="Q70" s="47">
        <v>80000</v>
      </c>
      <c r="R70" s="48">
        <f t="shared" si="3"/>
        <v>30</v>
      </c>
      <c r="S70" s="46">
        <f t="shared" si="4"/>
        <v>3737923</v>
      </c>
      <c r="T70" s="49">
        <f>CEILING(IF((O70+Q70)&gt;($E$2*10),S70*8%,0),100)</f>
        <v>0</v>
      </c>
      <c r="U70" s="49">
        <f>CEILING((S70)*12%,100)</f>
        <v>448600</v>
      </c>
      <c r="V70" s="49">
        <f>CEILING((S70)*2.436%,100)</f>
        <v>91100</v>
      </c>
      <c r="W70" s="49">
        <f>CEILING((S70)*4%,100)</f>
        <v>149600</v>
      </c>
      <c r="X70" s="49">
        <f t="shared" si="17"/>
        <v>6229.9215056399989</v>
      </c>
      <c r="Y70" s="49">
        <f>SUM(T70:X70)</f>
        <v>695529.92150564003</v>
      </c>
      <c r="Z70" s="49">
        <f t="shared" ref="Z70:Z76" si="103">(O70-L70)*4.1667%</f>
        <v>155748.03764099997</v>
      </c>
      <c r="AA70" s="49">
        <f>+O70*8.33333%</f>
        <v>311493.4587359</v>
      </c>
      <c r="AB70" s="49">
        <f>+O70*8.33333%</f>
        <v>311493.4587359</v>
      </c>
      <c r="AC70" s="49">
        <f>+O70*1%</f>
        <v>37379.230000000003</v>
      </c>
      <c r="AD70" s="50">
        <f>SUM(Z70:AC70)</f>
        <v>816114.18511279998</v>
      </c>
      <c r="AE70" s="51">
        <v>0</v>
      </c>
      <c r="AF70" s="52">
        <v>0</v>
      </c>
      <c r="AG70" s="53">
        <f t="shared" si="23"/>
        <v>5329567</v>
      </c>
      <c r="AH70" s="53">
        <f t="shared" si="6"/>
        <v>5329567</v>
      </c>
      <c r="AI70" s="50">
        <v>0</v>
      </c>
      <c r="AJ70" s="50">
        <f t="shared" si="7"/>
        <v>0</v>
      </c>
      <c r="AK70" s="50">
        <f>+AG70+AI70</f>
        <v>5329567</v>
      </c>
      <c r="AL70" s="50">
        <f>+AI70*19%</f>
        <v>0</v>
      </c>
      <c r="AM70" s="50">
        <f>ROUND(AK70+AL70,0)</f>
        <v>5329567</v>
      </c>
      <c r="AN70" s="50">
        <f t="shared" si="11"/>
        <v>5329567</v>
      </c>
      <c r="AO70" s="54">
        <f t="shared" si="12"/>
        <v>26647835</v>
      </c>
      <c r="AQ70" s="15">
        <f t="shared" si="24"/>
        <v>31977402</v>
      </c>
      <c r="AR70" s="55"/>
    </row>
    <row r="71" spans="2:45" ht="15" customHeight="1" outlineLevel="2" x14ac:dyDescent="0.25">
      <c r="B71" s="42">
        <v>2966113</v>
      </c>
      <c r="C71" s="41">
        <v>4.4999999999999998E-2</v>
      </c>
      <c r="D71" s="56">
        <f t="shared" si="27"/>
        <v>133475.08499999999</v>
      </c>
      <c r="E71" s="42">
        <f t="shared" si="28"/>
        <v>3099588</v>
      </c>
      <c r="F71" s="42" t="s">
        <v>47</v>
      </c>
      <c r="G71" s="43">
        <v>22</v>
      </c>
      <c r="H71" s="44" t="s">
        <v>108</v>
      </c>
      <c r="I71" s="42">
        <f t="shared" si="13"/>
        <v>3099588</v>
      </c>
      <c r="J71" s="45">
        <v>30</v>
      </c>
      <c r="K71" s="46">
        <f t="shared" ref="K71" si="104">I71/30*J71</f>
        <v>3099588</v>
      </c>
      <c r="L71" s="47">
        <f t="shared" si="1"/>
        <v>249094.99999999997</v>
      </c>
      <c r="M71" s="46">
        <v>0</v>
      </c>
      <c r="N71" s="46">
        <v>0</v>
      </c>
      <c r="O71" s="46">
        <f t="shared" si="2"/>
        <v>3348683</v>
      </c>
      <c r="P71" s="47">
        <v>0</v>
      </c>
      <c r="Q71" s="47">
        <v>80000</v>
      </c>
      <c r="R71" s="48">
        <f t="shared" si="3"/>
        <v>30</v>
      </c>
      <c r="S71" s="46">
        <f t="shared" si="4"/>
        <v>3099588</v>
      </c>
      <c r="T71" s="49">
        <f t="shared" ref="T71" si="105">CEILING(IF((O71+Q71)&gt;($E$2*10),S71*8%,0),100)</f>
        <v>0</v>
      </c>
      <c r="U71" s="49">
        <f>CEILING((S71)*12%,100)</f>
        <v>372000</v>
      </c>
      <c r="V71" s="49">
        <f>CEILING((S71)*2.436%,100)</f>
        <v>75600</v>
      </c>
      <c r="W71" s="49">
        <f t="shared" ref="W71" si="106">CEILING((S71)*4%,100)</f>
        <v>124000</v>
      </c>
      <c r="X71" s="49">
        <f t="shared" si="17"/>
        <v>5166.0213278399997</v>
      </c>
      <c r="Y71" s="49">
        <f t="shared" ref="Y71" si="107">SUM(T71:X71)</f>
        <v>576766.02132784005</v>
      </c>
      <c r="Z71" s="49">
        <f t="shared" si="103"/>
        <v>129150.53319599999</v>
      </c>
      <c r="AA71" s="49">
        <f t="shared" ref="AA71" si="108">+O71*8.33333%</f>
        <v>279056.80504389998</v>
      </c>
      <c r="AB71" s="49">
        <f t="shared" ref="AB71" si="109">+O71*8.33333%</f>
        <v>279056.80504389998</v>
      </c>
      <c r="AC71" s="49">
        <f t="shared" ref="AC71" si="110">+O71*1%</f>
        <v>33486.83</v>
      </c>
      <c r="AD71" s="50">
        <f t="shared" ref="AD71" si="111">SUM(Z71:AC71)</f>
        <v>720750.97328379995</v>
      </c>
      <c r="AE71" s="51">
        <v>0</v>
      </c>
      <c r="AF71" s="52">
        <v>0</v>
      </c>
      <c r="AG71" s="53">
        <f t="shared" si="23"/>
        <v>4726200</v>
      </c>
      <c r="AH71" s="53">
        <f t="shared" si="6"/>
        <v>103976400</v>
      </c>
      <c r="AI71" s="50">
        <v>0</v>
      </c>
      <c r="AJ71" s="50">
        <f t="shared" si="7"/>
        <v>0</v>
      </c>
      <c r="AK71" s="50">
        <f t="shared" ref="AK71" si="112">+AG71+AI71</f>
        <v>4726200</v>
      </c>
      <c r="AL71" s="50">
        <f t="shared" ref="AL71" si="113">+AI71*19%</f>
        <v>0</v>
      </c>
      <c r="AM71" s="50">
        <f t="shared" ref="AM71" si="114">ROUND(AK71+AL71,0)</f>
        <v>4726200</v>
      </c>
      <c r="AN71" s="50">
        <f t="shared" si="11"/>
        <v>103976400</v>
      </c>
      <c r="AO71" s="54">
        <f t="shared" si="12"/>
        <v>519882000</v>
      </c>
      <c r="AQ71" s="15">
        <f t="shared" si="24"/>
        <v>623858400</v>
      </c>
      <c r="AR71" s="55"/>
    </row>
    <row r="72" spans="2:45" ht="15" customHeight="1" outlineLevel="2" x14ac:dyDescent="0.25">
      <c r="B72" s="42">
        <v>1552845</v>
      </c>
      <c r="C72" s="41">
        <v>4.4999999999999998E-2</v>
      </c>
      <c r="D72" s="56">
        <f t="shared" si="27"/>
        <v>69878.024999999994</v>
      </c>
      <c r="E72" s="42">
        <f t="shared" si="28"/>
        <v>1622723</v>
      </c>
      <c r="F72" s="42" t="s">
        <v>47</v>
      </c>
      <c r="G72" s="43">
        <v>1</v>
      </c>
      <c r="H72" s="44" t="s">
        <v>109</v>
      </c>
      <c r="I72" s="42">
        <f t="shared" si="13"/>
        <v>1622723</v>
      </c>
      <c r="J72" s="45">
        <v>30</v>
      </c>
      <c r="K72" s="46">
        <f>I72/30*J72</f>
        <v>1622723</v>
      </c>
      <c r="L72" s="47">
        <f t="shared" si="1"/>
        <v>249094.99999999997</v>
      </c>
      <c r="M72" s="46">
        <v>0</v>
      </c>
      <c r="N72" s="46">
        <v>0</v>
      </c>
      <c r="O72" s="46">
        <f t="shared" si="2"/>
        <v>1871818</v>
      </c>
      <c r="P72" s="47">
        <v>0</v>
      </c>
      <c r="Q72" s="47">
        <v>80000</v>
      </c>
      <c r="R72" s="48">
        <f t="shared" si="3"/>
        <v>30</v>
      </c>
      <c r="S72" s="46">
        <f t="shared" si="4"/>
        <v>1750905</v>
      </c>
      <c r="T72" s="49">
        <f>CEILING(IF((O72+Q72)&gt;($E$2*10),S72*8%,0),100)</f>
        <v>0</v>
      </c>
      <c r="U72" s="49">
        <f>CEILING((S72)*12%,100)</f>
        <v>210200</v>
      </c>
      <c r="V72" s="49">
        <f>CEILING((S72)*2.436%,100)</f>
        <v>42700</v>
      </c>
      <c r="W72" s="49">
        <f>CEILING((S72)*4%,100)</f>
        <v>70100</v>
      </c>
      <c r="X72" s="49">
        <f t="shared" si="17"/>
        <v>2704.55996964</v>
      </c>
      <c r="Y72" s="49">
        <f>SUM(T72:X72)</f>
        <v>325704.55996963999</v>
      </c>
      <c r="Z72" s="49">
        <f t="shared" si="103"/>
        <v>67613.999240999998</v>
      </c>
      <c r="AA72" s="49">
        <f>+O72*8.33333%</f>
        <v>155984.77093940001</v>
      </c>
      <c r="AB72" s="49">
        <f>+O72*8.33333%</f>
        <v>155984.77093940001</v>
      </c>
      <c r="AC72" s="49">
        <f>+O72*1%</f>
        <v>18718.18</v>
      </c>
      <c r="AD72" s="50">
        <f>SUM(Z72:AC72)</f>
        <v>398301.7211198</v>
      </c>
      <c r="AE72" s="51">
        <v>0</v>
      </c>
      <c r="AF72" s="52">
        <v>0</v>
      </c>
      <c r="AG72" s="53">
        <f t="shared" si="23"/>
        <v>2675824</v>
      </c>
      <c r="AH72" s="53">
        <f t="shared" si="6"/>
        <v>2675824</v>
      </c>
      <c r="AI72" s="50">
        <v>0</v>
      </c>
      <c r="AJ72" s="50">
        <f t="shared" si="7"/>
        <v>0</v>
      </c>
      <c r="AK72" s="50">
        <f>+AG72+AI72</f>
        <v>2675824</v>
      </c>
      <c r="AL72" s="50">
        <f>+AI72*19%</f>
        <v>0</v>
      </c>
      <c r="AM72" s="50">
        <f>ROUND(AK72+AL72,0)</f>
        <v>2675824</v>
      </c>
      <c r="AN72" s="50">
        <f t="shared" si="11"/>
        <v>2675824</v>
      </c>
      <c r="AO72" s="54">
        <f t="shared" si="12"/>
        <v>13379120</v>
      </c>
      <c r="AQ72" s="15">
        <f t="shared" si="24"/>
        <v>16054944</v>
      </c>
      <c r="AR72" s="55"/>
    </row>
    <row r="73" spans="2:45" ht="21" customHeight="1" outlineLevel="2" x14ac:dyDescent="0.25">
      <c r="B73" s="42">
        <v>3639324</v>
      </c>
      <c r="C73" s="41">
        <v>4.4999999999999998E-2</v>
      </c>
      <c r="D73" s="56">
        <f t="shared" si="27"/>
        <v>163769.57999999999</v>
      </c>
      <c r="E73" s="42">
        <f t="shared" si="28"/>
        <v>3803094</v>
      </c>
      <c r="F73" s="42" t="s">
        <v>47</v>
      </c>
      <c r="G73" s="43">
        <v>1</v>
      </c>
      <c r="H73" s="57" t="s">
        <v>110</v>
      </c>
      <c r="I73" s="42">
        <f t="shared" si="13"/>
        <v>3803094</v>
      </c>
      <c r="J73" s="45">
        <v>30</v>
      </c>
      <c r="K73" s="46">
        <f t="shared" ref="K73:K76" si="115">I73/30*J73</f>
        <v>3803094</v>
      </c>
      <c r="L73" s="47">
        <f t="shared" si="1"/>
        <v>0</v>
      </c>
      <c r="M73" s="46">
        <v>0</v>
      </c>
      <c r="N73" s="46">
        <v>0</v>
      </c>
      <c r="O73" s="46">
        <f t="shared" si="2"/>
        <v>3803094</v>
      </c>
      <c r="P73" s="47">
        <v>0</v>
      </c>
      <c r="Q73" s="47">
        <v>80000</v>
      </c>
      <c r="R73" s="48">
        <f t="shared" si="3"/>
        <v>30</v>
      </c>
      <c r="S73" s="46">
        <f t="shared" si="4"/>
        <v>3803094</v>
      </c>
      <c r="T73" s="49">
        <f t="shared" si="14"/>
        <v>0</v>
      </c>
      <c r="U73" s="49">
        <f t="shared" ref="U73:U76" si="116">CEILING((S73)*12%,100)</f>
        <v>456400</v>
      </c>
      <c r="V73" s="49">
        <f t="shared" ref="V73:V76" si="117">CEILING((S73)*2.436%,100)</f>
        <v>92700</v>
      </c>
      <c r="W73" s="49">
        <f t="shared" ref="W73:W76" si="118">CEILING((S73)*4%,100)</f>
        <v>152200</v>
      </c>
      <c r="X73" s="49">
        <f t="shared" si="17"/>
        <v>6338.5407079199995</v>
      </c>
      <c r="Y73" s="49">
        <f t="shared" ref="Y73:Y76" si="119">SUM(T73:X73)</f>
        <v>707638.54070791998</v>
      </c>
      <c r="Z73" s="49">
        <f t="shared" si="103"/>
        <v>158463.51769799998</v>
      </c>
      <c r="AA73" s="49">
        <f t="shared" ref="AA73:AA76" si="120">+O73*8.33333%</f>
        <v>316924.37323019997</v>
      </c>
      <c r="AB73" s="49">
        <f t="shared" ref="AB73:AB76" si="121">+O73*8.33333%</f>
        <v>316924.37323019997</v>
      </c>
      <c r="AC73" s="49">
        <f t="shared" ref="AC73:AC76" si="122">+O73*1%</f>
        <v>38030.94</v>
      </c>
      <c r="AD73" s="50">
        <f t="shared" si="22"/>
        <v>830343.20415839995</v>
      </c>
      <c r="AE73" s="51">
        <v>0</v>
      </c>
      <c r="AF73" s="52">
        <v>0</v>
      </c>
      <c r="AG73" s="53">
        <f t="shared" si="23"/>
        <v>5421076</v>
      </c>
      <c r="AH73" s="53">
        <f t="shared" si="6"/>
        <v>5421076</v>
      </c>
      <c r="AI73" s="50">
        <v>0</v>
      </c>
      <c r="AJ73" s="50">
        <f t="shared" si="7"/>
        <v>0</v>
      </c>
      <c r="AK73" s="50">
        <f t="shared" ref="AK73:AK76" si="123">+AG73+AI73</f>
        <v>5421076</v>
      </c>
      <c r="AL73" s="50">
        <f t="shared" ref="AL73:AL76" si="124">+AI73*19%</f>
        <v>0</v>
      </c>
      <c r="AM73" s="50">
        <f t="shared" ref="AM73:AM76" si="125">ROUND(AK73+AL73,0)</f>
        <v>5421076</v>
      </c>
      <c r="AN73" s="50">
        <f t="shared" si="11"/>
        <v>5421076</v>
      </c>
      <c r="AO73" s="54">
        <f t="shared" si="12"/>
        <v>27105380</v>
      </c>
      <c r="AQ73" s="15">
        <f t="shared" si="24"/>
        <v>32526456</v>
      </c>
      <c r="AR73" s="55"/>
    </row>
    <row r="74" spans="2:45" ht="15" customHeight="1" outlineLevel="2" x14ac:dyDescent="0.25">
      <c r="B74" s="42">
        <v>2966113</v>
      </c>
      <c r="C74" s="41">
        <v>4.4999999999999998E-2</v>
      </c>
      <c r="D74" s="56">
        <f t="shared" si="27"/>
        <v>133475.08499999999</v>
      </c>
      <c r="E74" s="42">
        <f t="shared" si="28"/>
        <v>3099588</v>
      </c>
      <c r="F74" s="42" t="s">
        <v>47</v>
      </c>
      <c r="G74" s="43">
        <v>7</v>
      </c>
      <c r="H74" s="44" t="s">
        <v>111</v>
      </c>
      <c r="I74" s="42">
        <f t="shared" si="13"/>
        <v>3099588</v>
      </c>
      <c r="J74" s="45">
        <v>30</v>
      </c>
      <c r="K74" s="46">
        <f t="shared" si="115"/>
        <v>3099588</v>
      </c>
      <c r="L74" s="47">
        <f t="shared" si="1"/>
        <v>249094.99999999997</v>
      </c>
      <c r="M74" s="46">
        <v>0</v>
      </c>
      <c r="N74" s="46">
        <v>0</v>
      </c>
      <c r="O74" s="46">
        <f t="shared" si="2"/>
        <v>3348683</v>
      </c>
      <c r="P74" s="47">
        <v>0</v>
      </c>
      <c r="Q74" s="47">
        <v>80000</v>
      </c>
      <c r="R74" s="48">
        <f t="shared" si="3"/>
        <v>30</v>
      </c>
      <c r="S74" s="46">
        <f t="shared" si="4"/>
        <v>3099588</v>
      </c>
      <c r="T74" s="49">
        <f t="shared" si="14"/>
        <v>0</v>
      </c>
      <c r="U74" s="49">
        <f t="shared" si="116"/>
        <v>372000</v>
      </c>
      <c r="V74" s="49">
        <f t="shared" si="117"/>
        <v>75600</v>
      </c>
      <c r="W74" s="49">
        <f t="shared" si="118"/>
        <v>124000</v>
      </c>
      <c r="X74" s="49">
        <f t="shared" si="17"/>
        <v>5166.0213278399997</v>
      </c>
      <c r="Y74" s="49">
        <f t="shared" si="119"/>
        <v>576766.02132784005</v>
      </c>
      <c r="Z74" s="49">
        <f t="shared" si="103"/>
        <v>129150.53319599999</v>
      </c>
      <c r="AA74" s="49">
        <f t="shared" si="120"/>
        <v>279056.80504389998</v>
      </c>
      <c r="AB74" s="49">
        <f t="shared" si="121"/>
        <v>279056.80504389998</v>
      </c>
      <c r="AC74" s="49">
        <f t="shared" si="122"/>
        <v>33486.83</v>
      </c>
      <c r="AD74" s="50">
        <f t="shared" si="22"/>
        <v>720750.97328379995</v>
      </c>
      <c r="AE74" s="51">
        <v>0</v>
      </c>
      <c r="AF74" s="52">
        <v>0</v>
      </c>
      <c r="AG74" s="53">
        <f t="shared" si="23"/>
        <v>4726200</v>
      </c>
      <c r="AH74" s="53">
        <f t="shared" si="6"/>
        <v>33083400</v>
      </c>
      <c r="AI74" s="50">
        <v>0</v>
      </c>
      <c r="AJ74" s="50">
        <f t="shared" si="7"/>
        <v>0</v>
      </c>
      <c r="AK74" s="50">
        <f t="shared" si="123"/>
        <v>4726200</v>
      </c>
      <c r="AL74" s="50">
        <f t="shared" si="124"/>
        <v>0</v>
      </c>
      <c r="AM74" s="50">
        <f t="shared" si="125"/>
        <v>4726200</v>
      </c>
      <c r="AN74" s="50">
        <f t="shared" si="11"/>
        <v>33083400</v>
      </c>
      <c r="AO74" s="54">
        <f t="shared" si="12"/>
        <v>165417000</v>
      </c>
      <c r="AQ74" s="15">
        <f t="shared" si="24"/>
        <v>198500400</v>
      </c>
      <c r="AR74" s="55"/>
    </row>
    <row r="75" spans="2:45" ht="15" customHeight="1" outlineLevel="2" x14ac:dyDescent="0.25">
      <c r="B75" s="42">
        <v>2966113</v>
      </c>
      <c r="C75" s="41">
        <v>4.4999999999999998E-2</v>
      </c>
      <c r="D75" s="56">
        <f t="shared" si="27"/>
        <v>133475.08499999999</v>
      </c>
      <c r="E75" s="42">
        <f t="shared" si="28"/>
        <v>3099588</v>
      </c>
      <c r="F75" s="42" t="s">
        <v>47</v>
      </c>
      <c r="G75" s="43">
        <v>102</v>
      </c>
      <c r="H75" s="44" t="s">
        <v>112</v>
      </c>
      <c r="I75" s="42">
        <f t="shared" si="13"/>
        <v>3099588</v>
      </c>
      <c r="J75" s="45">
        <v>30</v>
      </c>
      <c r="K75" s="46">
        <f t="shared" si="115"/>
        <v>3099588</v>
      </c>
      <c r="L75" s="47">
        <f t="shared" si="1"/>
        <v>249094.99999999997</v>
      </c>
      <c r="M75" s="46">
        <v>0</v>
      </c>
      <c r="N75" s="46">
        <v>0</v>
      </c>
      <c r="O75" s="46">
        <f t="shared" si="2"/>
        <v>3348683</v>
      </c>
      <c r="P75" s="47">
        <v>0</v>
      </c>
      <c r="Q75" s="47">
        <v>80000</v>
      </c>
      <c r="R75" s="48">
        <f t="shared" si="3"/>
        <v>30</v>
      </c>
      <c r="S75" s="46">
        <f t="shared" si="4"/>
        <v>3099588</v>
      </c>
      <c r="T75" s="49">
        <f t="shared" si="14"/>
        <v>0</v>
      </c>
      <c r="U75" s="49">
        <f t="shared" si="116"/>
        <v>372000</v>
      </c>
      <c r="V75" s="49">
        <f t="shared" si="117"/>
        <v>75600</v>
      </c>
      <c r="W75" s="49">
        <f t="shared" si="118"/>
        <v>124000</v>
      </c>
      <c r="X75" s="49">
        <f t="shared" si="17"/>
        <v>5166.0213278399997</v>
      </c>
      <c r="Y75" s="49">
        <f t="shared" si="119"/>
        <v>576766.02132784005</v>
      </c>
      <c r="Z75" s="49">
        <f t="shared" si="103"/>
        <v>129150.53319599999</v>
      </c>
      <c r="AA75" s="49">
        <f t="shared" si="120"/>
        <v>279056.80504389998</v>
      </c>
      <c r="AB75" s="49">
        <f t="shared" si="121"/>
        <v>279056.80504389998</v>
      </c>
      <c r="AC75" s="49">
        <f t="shared" si="122"/>
        <v>33486.83</v>
      </c>
      <c r="AD75" s="50">
        <f t="shared" si="22"/>
        <v>720750.97328379995</v>
      </c>
      <c r="AE75" s="51">
        <v>0</v>
      </c>
      <c r="AF75" s="52">
        <v>0</v>
      </c>
      <c r="AG75" s="53">
        <f t="shared" si="23"/>
        <v>4726200</v>
      </c>
      <c r="AH75" s="53">
        <f t="shared" si="6"/>
        <v>482072400</v>
      </c>
      <c r="AI75" s="50">
        <v>0</v>
      </c>
      <c r="AJ75" s="50">
        <f t="shared" si="7"/>
        <v>0</v>
      </c>
      <c r="AK75" s="50">
        <f t="shared" si="123"/>
        <v>4726200</v>
      </c>
      <c r="AL75" s="50">
        <f t="shared" si="124"/>
        <v>0</v>
      </c>
      <c r="AM75" s="58">
        <f t="shared" si="125"/>
        <v>4726200</v>
      </c>
      <c r="AN75" s="58">
        <f t="shared" si="11"/>
        <v>482072400</v>
      </c>
      <c r="AO75" s="54">
        <f t="shared" ref="AO75:AO76" si="126">AN75*5</f>
        <v>2410362000</v>
      </c>
      <c r="AQ75" s="15">
        <f t="shared" si="24"/>
        <v>2892434400</v>
      </c>
      <c r="AR75" s="55"/>
    </row>
    <row r="76" spans="2:45" ht="21.75" customHeight="1" outlineLevel="2" x14ac:dyDescent="0.25">
      <c r="B76" s="42">
        <v>3639324</v>
      </c>
      <c r="C76" s="41">
        <v>4.4999999999999998E-2</v>
      </c>
      <c r="D76" s="56">
        <f t="shared" si="27"/>
        <v>163769.57999999999</v>
      </c>
      <c r="E76" s="42">
        <f t="shared" si="28"/>
        <v>3803094</v>
      </c>
      <c r="F76" s="42" t="s">
        <v>47</v>
      </c>
      <c r="G76" s="43">
        <v>2</v>
      </c>
      <c r="H76" s="57" t="s">
        <v>113</v>
      </c>
      <c r="I76" s="42">
        <f t="shared" si="13"/>
        <v>3803094</v>
      </c>
      <c r="J76" s="45">
        <v>30</v>
      </c>
      <c r="K76" s="46">
        <f t="shared" si="115"/>
        <v>3803094</v>
      </c>
      <c r="L76" s="47">
        <f t="shared" si="1"/>
        <v>0</v>
      </c>
      <c r="M76" s="46">
        <v>0</v>
      </c>
      <c r="N76" s="46">
        <v>0</v>
      </c>
      <c r="O76" s="46">
        <f t="shared" si="2"/>
        <v>3803094</v>
      </c>
      <c r="P76" s="47">
        <v>0</v>
      </c>
      <c r="Q76" s="47">
        <v>80000</v>
      </c>
      <c r="R76" s="48">
        <f t="shared" si="3"/>
        <v>30</v>
      </c>
      <c r="S76" s="46">
        <f t="shared" si="4"/>
        <v>3803094</v>
      </c>
      <c r="T76" s="49">
        <f t="shared" si="14"/>
        <v>0</v>
      </c>
      <c r="U76" s="49">
        <f t="shared" si="116"/>
        <v>456400</v>
      </c>
      <c r="V76" s="49">
        <f t="shared" si="117"/>
        <v>92700</v>
      </c>
      <c r="W76" s="49">
        <f t="shared" si="118"/>
        <v>152200</v>
      </c>
      <c r="X76" s="49">
        <f t="shared" ref="X76" si="127">(Z76)*4%</f>
        <v>6338.5407079199995</v>
      </c>
      <c r="Y76" s="49">
        <f t="shared" si="119"/>
        <v>707638.54070791998</v>
      </c>
      <c r="Z76" s="49">
        <f t="shared" si="103"/>
        <v>158463.51769799998</v>
      </c>
      <c r="AA76" s="49">
        <f t="shared" si="120"/>
        <v>316924.37323019997</v>
      </c>
      <c r="AB76" s="49">
        <f t="shared" si="121"/>
        <v>316924.37323019997</v>
      </c>
      <c r="AC76" s="49">
        <f t="shared" si="122"/>
        <v>38030.94</v>
      </c>
      <c r="AD76" s="50">
        <f t="shared" si="22"/>
        <v>830343.20415839995</v>
      </c>
      <c r="AE76" s="51">
        <v>0</v>
      </c>
      <c r="AF76" s="52">
        <v>0</v>
      </c>
      <c r="AG76" s="53">
        <f t="shared" si="23"/>
        <v>5421076</v>
      </c>
      <c r="AH76" s="53">
        <f t="shared" si="6"/>
        <v>10842152</v>
      </c>
      <c r="AI76" s="50">
        <v>0</v>
      </c>
      <c r="AJ76" s="50">
        <f t="shared" si="7"/>
        <v>0</v>
      </c>
      <c r="AK76" s="50">
        <f t="shared" si="123"/>
        <v>5421076</v>
      </c>
      <c r="AL76" s="50">
        <f t="shared" si="124"/>
        <v>0</v>
      </c>
      <c r="AM76" s="58">
        <f t="shared" si="125"/>
        <v>5421076</v>
      </c>
      <c r="AN76" s="58">
        <f t="shared" si="11"/>
        <v>10842152</v>
      </c>
      <c r="AO76" s="54">
        <f t="shared" si="126"/>
        <v>54210760</v>
      </c>
      <c r="AQ76" s="15">
        <f t="shared" si="24"/>
        <v>65052912</v>
      </c>
      <c r="AR76" s="55"/>
    </row>
    <row r="77" spans="2:45" ht="15" customHeight="1" x14ac:dyDescent="0.25">
      <c r="G77" s="59">
        <f>SUM(G11:G76)</f>
        <v>1598</v>
      </c>
      <c r="I77" s="60"/>
      <c r="AD77" s="35"/>
      <c r="AG77" s="35"/>
      <c r="AH77" s="35"/>
      <c r="AI77" s="61"/>
      <c r="AJ77" s="61"/>
      <c r="AK77" s="35"/>
      <c r="AL77" s="61"/>
      <c r="AM77" s="79" t="s">
        <v>40</v>
      </c>
      <c r="AN77" s="79"/>
      <c r="AO77" s="62">
        <f>SUM(AO11:AO76)</f>
        <v>35294258475</v>
      </c>
      <c r="AP77" s="62">
        <f t="shared" ref="AP77:AP82" si="128">+AO77/5</f>
        <v>7058851695</v>
      </c>
      <c r="AQ77" s="15">
        <f>SUM(AQ11:AQ75)</f>
        <v>42288057258</v>
      </c>
    </row>
    <row r="78" spans="2:45" ht="15" customHeight="1" x14ac:dyDescent="0.25">
      <c r="B78" s="15"/>
      <c r="E78" s="63"/>
      <c r="I78" s="60"/>
      <c r="L78" s="63"/>
      <c r="P78" s="63"/>
      <c r="AE78" s="61"/>
      <c r="AH78" s="35"/>
      <c r="AI78" s="61"/>
      <c r="AJ78" s="61"/>
      <c r="AK78" s="35"/>
      <c r="AL78" s="61"/>
      <c r="AM78" s="80" t="s">
        <v>114</v>
      </c>
      <c r="AN78" s="80"/>
      <c r="AO78" s="62">
        <f>+AO77*27.3%</f>
        <v>9635332563.6750011</v>
      </c>
      <c r="AP78" s="62">
        <f t="shared" si="128"/>
        <v>1927066512.7350001</v>
      </c>
      <c r="AQ78" s="15">
        <f>+AQ77*26%</f>
        <v>10994894887.08</v>
      </c>
      <c r="AR78" s="15">
        <f>+AO78/5</f>
        <v>1927066512.7350001</v>
      </c>
      <c r="AS78" s="64"/>
    </row>
    <row r="79" spans="2:45" ht="25.5" customHeight="1" x14ac:dyDescent="0.15">
      <c r="G79" s="81" t="s">
        <v>115</v>
      </c>
      <c r="H79" s="81"/>
      <c r="I79" s="81"/>
      <c r="J79" s="81"/>
      <c r="K79" s="81"/>
      <c r="L79" s="81"/>
      <c r="M79" s="81"/>
      <c r="N79" s="81"/>
      <c r="O79" s="81"/>
      <c r="P79" s="65"/>
      <c r="AE79" s="61"/>
      <c r="AI79" s="61"/>
      <c r="AJ79" s="61"/>
      <c r="AK79" s="35"/>
      <c r="AL79" s="61"/>
      <c r="AM79" s="80" t="s">
        <v>116</v>
      </c>
      <c r="AN79" s="80"/>
      <c r="AO79" s="62">
        <f>+AO77+AO78</f>
        <v>44929591038.675003</v>
      </c>
      <c r="AP79" s="62">
        <f t="shared" si="128"/>
        <v>8985918207.7350006</v>
      </c>
      <c r="AQ79" s="15">
        <f>+AQ77+AQ78</f>
        <v>53282952145.080002</v>
      </c>
    </row>
    <row r="80" spans="2:45" ht="15" customHeight="1" x14ac:dyDescent="0.25">
      <c r="B80" s="66"/>
      <c r="G80" s="24" t="s">
        <v>117</v>
      </c>
      <c r="H80" s="67"/>
      <c r="I80" s="60"/>
      <c r="X80" s="13"/>
      <c r="AE80" s="61"/>
      <c r="AI80" s="61"/>
      <c r="AJ80" s="61"/>
      <c r="AK80" s="35"/>
      <c r="AL80" s="61"/>
      <c r="AM80" s="80" t="s">
        <v>118</v>
      </c>
      <c r="AN80" s="80"/>
      <c r="AO80" s="62">
        <f>+AO79*11%</f>
        <v>4942255014.2542505</v>
      </c>
      <c r="AP80" s="62">
        <f t="shared" si="128"/>
        <v>988451002.85085011</v>
      </c>
      <c r="AQ80" s="15">
        <f>+AQ79*11%</f>
        <v>5861124735.9588003</v>
      </c>
    </row>
    <row r="81" spans="2:44" ht="15" customHeight="1" x14ac:dyDescent="0.25">
      <c r="G81" s="24" t="s">
        <v>119</v>
      </c>
      <c r="I81" s="60"/>
      <c r="X81" s="13"/>
      <c r="AE81" s="61"/>
      <c r="AI81" s="61"/>
      <c r="AJ81" s="61"/>
      <c r="AK81" s="35"/>
      <c r="AL81" s="61"/>
      <c r="AM81" s="80" t="s">
        <v>120</v>
      </c>
      <c r="AN81" s="80"/>
      <c r="AO81" s="62">
        <f>ROUND(AO80*19%,0)</f>
        <v>939028453</v>
      </c>
      <c r="AP81" s="62">
        <f t="shared" si="128"/>
        <v>187805690.59999999</v>
      </c>
      <c r="AQ81" s="15">
        <f>+AQ80*19%</f>
        <v>1113613699.8321722</v>
      </c>
    </row>
    <row r="82" spans="2:44" ht="15" customHeight="1" x14ac:dyDescent="0.25">
      <c r="H82" s="24"/>
      <c r="I82" s="24"/>
      <c r="J82" s="24"/>
      <c r="K82" s="24"/>
      <c r="L82" s="24"/>
      <c r="M82" s="24"/>
      <c r="N82" s="24"/>
      <c r="O82" s="24"/>
      <c r="P82" s="24"/>
      <c r="X82" s="13"/>
      <c r="AE82" s="15"/>
      <c r="AI82" s="61"/>
      <c r="AJ82" s="61"/>
      <c r="AL82" s="68"/>
      <c r="AM82" s="78" t="s">
        <v>116</v>
      </c>
      <c r="AN82" s="78"/>
      <c r="AO82" s="69">
        <f>+AO81+AO80+AO79</f>
        <v>50810874505.929253</v>
      </c>
      <c r="AP82" s="62">
        <f t="shared" si="128"/>
        <v>10162174901.18585</v>
      </c>
      <c r="AQ82" s="15">
        <f>+AQ79+AQ80+AQ81</f>
        <v>60257690580.870972</v>
      </c>
    </row>
    <row r="83" spans="2:44" ht="15.6" customHeight="1" x14ac:dyDescent="0.15">
      <c r="H83" s="24"/>
      <c r="X83" s="13"/>
      <c r="Y83" s="61"/>
      <c r="AD83" s="15"/>
      <c r="AE83" s="15"/>
      <c r="AH83" s="15"/>
      <c r="AK83" s="61"/>
      <c r="AL83" s="61"/>
      <c r="AO83" s="70"/>
      <c r="AR83" s="64"/>
    </row>
    <row r="84" spans="2:44" x14ac:dyDescent="0.25">
      <c r="H84" s="28"/>
      <c r="X84" s="13"/>
      <c r="AH84" s="15"/>
      <c r="AN84" s="29"/>
      <c r="AO84" s="71"/>
      <c r="AR84" s="15"/>
    </row>
    <row r="85" spans="2:44" hidden="1" x14ac:dyDescent="0.25">
      <c r="H85" s="28">
        <v>1552</v>
      </c>
      <c r="I85" s="33">
        <f>+H86-H85</f>
        <v>21</v>
      </c>
      <c r="AE85" s="55"/>
      <c r="AH85" s="15"/>
      <c r="AO85" s="72"/>
      <c r="AQ85" s="73"/>
    </row>
    <row r="86" spans="2:44" hidden="1" x14ac:dyDescent="0.25">
      <c r="B86" s="14"/>
      <c r="D86" s="74"/>
      <c r="H86" s="28">
        <v>1573</v>
      </c>
      <c r="I86" s="33" t="s">
        <v>121</v>
      </c>
      <c r="K86" s="15">
        <v>50339365681.400002</v>
      </c>
      <c r="L86" s="13">
        <v>51043740916</v>
      </c>
      <c r="AH86" s="15"/>
      <c r="AO86" s="73"/>
      <c r="AQ86" s="73"/>
    </row>
    <row r="87" spans="2:44" hidden="1" x14ac:dyDescent="0.25">
      <c r="B87" s="66"/>
      <c r="H87" s="9">
        <f>+G77</f>
        <v>1598</v>
      </c>
      <c r="I87" s="33" t="s">
        <v>122</v>
      </c>
      <c r="K87" s="15">
        <v>51043740916.199997</v>
      </c>
      <c r="L87" s="13">
        <f>+AO82-L86</f>
        <v>-232866410.07074738</v>
      </c>
      <c r="AE87" s="55"/>
      <c r="AO87" s="75"/>
      <c r="AQ87" s="73"/>
    </row>
    <row r="88" spans="2:44" hidden="1" x14ac:dyDescent="0.25">
      <c r="B88" s="76"/>
      <c r="H88" s="9">
        <f>+H87-H86</f>
        <v>25</v>
      </c>
      <c r="I88" s="33" t="s">
        <v>123</v>
      </c>
      <c r="K88" s="55">
        <f>+K87-K86</f>
        <v>704375234.79999542</v>
      </c>
      <c r="AO88" s="77"/>
      <c r="AQ88" s="73"/>
    </row>
    <row r="89" spans="2:44" hidden="1" x14ac:dyDescent="0.25">
      <c r="AO89" s="77"/>
      <c r="AQ89" s="73"/>
      <c r="AR89" s="73"/>
    </row>
    <row r="90" spans="2:44" hidden="1" x14ac:dyDescent="0.25">
      <c r="AO90" s="77"/>
      <c r="AQ90" s="73"/>
    </row>
    <row r="91" spans="2:44" x14ac:dyDescent="0.25">
      <c r="AO91" s="77"/>
      <c r="AQ91" s="73"/>
    </row>
    <row r="92" spans="2:44" x14ac:dyDescent="0.25">
      <c r="AO92" s="77"/>
      <c r="AQ92" s="73"/>
    </row>
    <row r="93" spans="2:44" x14ac:dyDescent="0.25">
      <c r="AO93" s="77"/>
      <c r="AQ93" s="73"/>
    </row>
    <row r="99" spans="2:45" s="5" customFormat="1" x14ac:dyDescent="0.25">
      <c r="B99" s="9"/>
      <c r="C99" s="9"/>
      <c r="D99" s="15"/>
      <c r="E99" s="9"/>
      <c r="F99" s="9"/>
      <c r="H99" s="9"/>
      <c r="I99" s="33"/>
      <c r="J99" s="9"/>
      <c r="K99" s="9"/>
      <c r="L99" s="9"/>
      <c r="M99" s="28"/>
      <c r="N99" s="28"/>
      <c r="O99" s="28"/>
      <c r="P99" s="9"/>
      <c r="Q99" s="28"/>
      <c r="R99" s="29"/>
      <c r="S99" s="28"/>
      <c r="T99" s="9"/>
      <c r="U99" s="9"/>
      <c r="V99" s="13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13"/>
      <c r="AN99" s="13"/>
      <c r="AO99" s="14"/>
      <c r="AP99" s="9"/>
      <c r="AQ99" s="15"/>
      <c r="AR99" s="9"/>
      <c r="AS99" s="9"/>
    </row>
    <row r="100" spans="2:45" s="5" customFormat="1" x14ac:dyDescent="0.25">
      <c r="B100" s="9"/>
      <c r="C100" s="9"/>
      <c r="D100" s="15"/>
      <c r="E100" s="15"/>
      <c r="F100" s="55"/>
      <c r="H100" s="9"/>
      <c r="I100" s="33"/>
      <c r="J100" s="9"/>
      <c r="K100" s="9"/>
      <c r="L100" s="9"/>
      <c r="M100" s="28"/>
      <c r="N100" s="28"/>
      <c r="O100" s="28"/>
      <c r="P100" s="9"/>
      <c r="Q100" s="28"/>
      <c r="R100" s="29"/>
      <c r="S100" s="28"/>
      <c r="T100" s="9"/>
      <c r="U100" s="9"/>
      <c r="V100" s="13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13"/>
      <c r="AN100" s="13"/>
      <c r="AO100" s="14"/>
      <c r="AP100" s="9"/>
      <c r="AQ100" s="15"/>
      <c r="AR100" s="9"/>
      <c r="AS100" s="9"/>
    </row>
    <row r="101" spans="2:45" s="5" customFormat="1" x14ac:dyDescent="0.25">
      <c r="B101" s="9"/>
      <c r="C101" s="9"/>
      <c r="D101" s="15"/>
      <c r="E101" s="15"/>
      <c r="F101" s="55"/>
      <c r="H101" s="9"/>
      <c r="I101" s="33"/>
      <c r="J101" s="9"/>
      <c r="K101" s="9"/>
      <c r="L101" s="9"/>
      <c r="M101" s="28"/>
      <c r="N101" s="28"/>
      <c r="O101" s="28"/>
      <c r="P101" s="9"/>
      <c r="Q101" s="28"/>
      <c r="R101" s="29"/>
      <c r="S101" s="28"/>
      <c r="T101" s="9"/>
      <c r="U101" s="9"/>
      <c r="V101" s="13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13"/>
      <c r="AN101" s="13"/>
      <c r="AO101" s="14"/>
      <c r="AP101" s="9"/>
      <c r="AQ101" s="15"/>
      <c r="AR101" s="9"/>
      <c r="AS101" s="9"/>
    </row>
    <row r="102" spans="2:45" s="5" customFormat="1" x14ac:dyDescent="0.25">
      <c r="B102" s="9"/>
      <c r="C102" s="9"/>
      <c r="D102" s="15"/>
      <c r="E102" s="15"/>
      <c r="F102" s="55"/>
      <c r="H102" s="9"/>
      <c r="I102" s="33"/>
      <c r="J102" s="9"/>
      <c r="K102" s="9"/>
      <c r="L102" s="9"/>
      <c r="M102" s="28"/>
      <c r="N102" s="28"/>
      <c r="O102" s="28"/>
      <c r="P102" s="9"/>
      <c r="Q102" s="28"/>
      <c r="R102" s="29"/>
      <c r="S102" s="28"/>
      <c r="T102" s="9"/>
      <c r="U102" s="9"/>
      <c r="V102" s="13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13"/>
      <c r="AN102" s="13"/>
      <c r="AO102" s="14"/>
      <c r="AP102" s="9"/>
      <c r="AQ102" s="15"/>
      <c r="AR102" s="9"/>
      <c r="AS102" s="9"/>
    </row>
    <row r="103" spans="2:45" s="5" customFormat="1" x14ac:dyDescent="0.25">
      <c r="B103" s="9"/>
      <c r="C103" s="9"/>
      <c r="D103" s="15"/>
      <c r="E103" s="15"/>
      <c r="F103" s="55"/>
      <c r="H103" s="9"/>
      <c r="I103" s="33"/>
      <c r="J103" s="9"/>
      <c r="K103" s="9"/>
      <c r="L103" s="9"/>
      <c r="M103" s="28"/>
      <c r="N103" s="28"/>
      <c r="O103" s="28"/>
      <c r="P103" s="9"/>
      <c r="Q103" s="28"/>
      <c r="R103" s="29"/>
      <c r="S103" s="28"/>
      <c r="T103" s="9"/>
      <c r="U103" s="9"/>
      <c r="V103" s="13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13"/>
      <c r="AN103" s="13"/>
      <c r="AO103" s="14"/>
      <c r="AP103" s="9"/>
      <c r="AQ103" s="15"/>
      <c r="AR103" s="9"/>
      <c r="AS103" s="9"/>
    </row>
    <row r="104" spans="2:45" s="5" customFormat="1" x14ac:dyDescent="0.25">
      <c r="B104" s="9"/>
      <c r="C104" s="9"/>
      <c r="D104" s="9"/>
      <c r="E104" s="15"/>
      <c r="F104" s="55"/>
      <c r="H104" s="9"/>
      <c r="I104" s="33"/>
      <c r="J104" s="9"/>
      <c r="K104" s="9"/>
      <c r="L104" s="9"/>
      <c r="M104" s="28"/>
      <c r="N104" s="28"/>
      <c r="O104" s="28"/>
      <c r="P104" s="9"/>
      <c r="Q104" s="28"/>
      <c r="R104" s="29"/>
      <c r="S104" s="28"/>
      <c r="T104" s="9"/>
      <c r="U104" s="9"/>
      <c r="V104" s="13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13"/>
      <c r="AN104" s="13"/>
      <c r="AO104" s="14"/>
      <c r="AP104" s="9"/>
      <c r="AQ104" s="15"/>
      <c r="AR104" s="9"/>
      <c r="AS104" s="9"/>
    </row>
    <row r="108" spans="2:45" x14ac:dyDescent="0.25">
      <c r="D108" s="15"/>
    </row>
    <row r="109" spans="2:45" x14ac:dyDescent="0.25">
      <c r="D109" s="15"/>
    </row>
    <row r="110" spans="2:45" x14ac:dyDescent="0.25">
      <c r="D110" s="15"/>
    </row>
    <row r="111" spans="2:45" x14ac:dyDescent="0.25">
      <c r="D111" s="15"/>
    </row>
    <row r="112" spans="2:45" x14ac:dyDescent="0.25">
      <c r="D112" s="15"/>
    </row>
  </sheetData>
  <sheetProtection formatCells="0" formatColumns="0" formatRows="0" insertColumns="0" insertRows="0" insertHyperlinks="0" deleteColumns="0" deleteRows="0" sort="0" autoFilter="0" pivotTables="0"/>
  <mergeCells count="7">
    <mergeCell ref="AM82:AN82"/>
    <mergeCell ref="AM77:AN77"/>
    <mergeCell ref="AM78:AN78"/>
    <mergeCell ref="G79:O79"/>
    <mergeCell ref="AM79:AN79"/>
    <mergeCell ref="AM80:AN80"/>
    <mergeCell ref="AM81:AN81"/>
  </mergeCells>
  <printOptions horizontalCentered="1"/>
  <pageMargins left="0.19685039370078741" right="0.23622047244094491" top="0.74803149606299213" bottom="0.74803149606299213" header="0.31496062992125984" footer="0.31496062992125984"/>
  <pageSetup paperSize="5" scale="27" orientation="landscape" r:id="rId1"/>
  <headerFooter scaleWithDoc="0" alignWithMargins="0"/>
  <colBreaks count="1" manualBreakCount="1">
    <brk id="41" max="8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20</vt:i4>
      </vt:variant>
    </vt:vector>
  </HeadingPairs>
  <TitlesOfParts>
    <vt:vector size="21" baseType="lpstr">
      <vt:lpstr>ASISTENCIALES Proy 174</vt:lpstr>
      <vt:lpstr>'ASISTENCIALES Proy 174'!ABRIL2Q</vt:lpstr>
      <vt:lpstr>'ASISTENCIALES Proy 174'!Área_de_impresión</vt:lpstr>
      <vt:lpstr>'ASISTENCIALES Proy 174'!asdfasdf</vt:lpstr>
      <vt:lpstr>'ASISTENCIALES Proy 174'!comprobantes</vt:lpstr>
      <vt:lpstr>'ASISTENCIALES Proy 174'!COPREVISION</vt:lpstr>
      <vt:lpstr>'ASISTENCIALES Proy 174'!FEBRERODOSQUI</vt:lpstr>
      <vt:lpstr>'ASISTENCIALES Proy 174'!JUNIO1Q</vt:lpstr>
      <vt:lpstr>'ASISTENCIALES Proy 174'!JUNIO2Q</vt:lpstr>
      <vt:lpstr>'ASISTENCIALES Proy 174'!marzo</vt:lpstr>
      <vt:lpstr>'ASISTENCIALES Proy 174'!MAYO1Q</vt:lpstr>
      <vt:lpstr>'ASISTENCIALES Proy 174'!MAYO2Q</vt:lpstr>
      <vt:lpstr>'ASISTENCIALES Proy 174'!Print_Area</vt:lpstr>
      <vt:lpstr>'ASISTENCIALES Proy 174'!Print_Titles</vt:lpstr>
      <vt:lpstr>'ASISTENCIALES Proy 174'!PROSPERAR</vt:lpstr>
      <vt:lpstr>'ASISTENCIALES Proy 174'!PROSPERAR2</vt:lpstr>
      <vt:lpstr>'ASISTENCIALES Proy 174'!PROSPERAR3</vt:lpstr>
      <vt:lpstr>'ASISTENCIALES Proy 174'!qwe</vt:lpstr>
      <vt:lpstr>'ASISTENCIALES Proy 174'!sadgfafg</vt:lpstr>
      <vt:lpstr>'ASISTENCIALES Proy 174'!Títulos_a_imprimir</vt:lpstr>
      <vt:lpstr>'ASISTENCIALES Proy 174'!we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Hospital San Rafael Tunja</dc:creator>
  <cp:keywords/>
  <dc:description/>
  <cp:lastModifiedBy>usuario</cp:lastModifiedBy>
  <cp:revision/>
  <cp:lastPrinted>2026-03-17T21:31:05Z</cp:lastPrinted>
  <dcterms:created xsi:type="dcterms:W3CDTF">2026-03-06T17:13:45Z</dcterms:created>
  <dcterms:modified xsi:type="dcterms:W3CDTF">2026-03-19T20:24:50Z</dcterms:modified>
  <cp:category/>
  <cp:contentStatus/>
</cp:coreProperties>
</file>