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yramirez\Videos\FAC. DILOS\ADICIONES\ADICIÓN ÚLTIMQ\GRUPO 1\ANEXOS GENERALES\"/>
    </mc:Choice>
  </mc:AlternateContent>
  <xr:revisionPtr revIDLastSave="0" documentId="13_ncr:1_{0E750AE1-B7BF-42BD-96FF-C7FA1F030218}" xr6:coauthVersionLast="47" xr6:coauthVersionMax="47" xr10:uidLastSave="{00000000-0000-0000-0000-000000000000}"/>
  <bookViews>
    <workbookView xWindow="-110" yWindow="-110" windowWidth="19420" windowHeight="11500" activeTab="1" xr2:uid="{00000000-000D-0000-FFFF-FFFF00000000}"/>
  </bookViews>
  <sheets>
    <sheet name="Listado de bienes" sheetId="4" r:id="rId1"/>
    <sheet name="Hoja1" sheetId="7" r:id="rId2"/>
    <sheet name="SIMULADOR TRDM" sheetId="6" r:id="rId3"/>
    <sheet name="SIMULADOR EYM" sheetId="5" r:id="rId4"/>
    <sheet name="Hoja2" sheetId="2" state="hidden" r:id="rId5"/>
    <sheet name="Hoja1 (2)" sheetId="3" state="hidden"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4" i="6" l="1"/>
  <c r="AE21" i="4"/>
  <c r="B14" i="5"/>
  <c r="B12" i="6"/>
  <c r="B12" i="5"/>
  <c r="B26" i="5" s="1"/>
  <c r="B25" i="6" l="1"/>
  <c r="B26" i="6" s="1"/>
  <c r="B27" i="6" s="1"/>
  <c r="B18" i="6"/>
  <c r="B27" i="5"/>
  <c r="B28" i="5" s="1"/>
  <c r="B19" i="5"/>
  <c r="B19" i="6" l="1"/>
  <c r="B20" i="6" s="1"/>
  <c r="A21" i="6" s="1"/>
  <c r="B20" i="5"/>
  <c r="B21" i="5" s="1"/>
  <c r="A22" i="5" s="1"/>
  <c r="Z6" i="4"/>
  <c r="X7" i="4"/>
  <c r="X6" i="4"/>
  <c r="AC8" i="4"/>
  <c r="AD8" i="4"/>
  <c r="AE9" i="4"/>
  <c r="AE6" i="4"/>
  <c r="AE5" i="4"/>
  <c r="AC12" i="4"/>
  <c r="AC13" i="4"/>
  <c r="AC14" i="4"/>
  <c r="AC16" i="4"/>
  <c r="AC11" i="4"/>
  <c r="AC9" i="4"/>
  <c r="AC7" i="4"/>
  <c r="AC6" i="4"/>
  <c r="AC5" i="4"/>
  <c r="AA17" i="4"/>
  <c r="AA16" i="4"/>
  <c r="AA15" i="4"/>
  <c r="AA14" i="4"/>
  <c r="AA12" i="4"/>
  <c r="AA13" i="4"/>
  <c r="AA11" i="4"/>
  <c r="AA9" i="4"/>
  <c r="AA8" i="4"/>
  <c r="AA6" i="4"/>
  <c r="AA7" i="4"/>
  <c r="AA5" i="4"/>
  <c r="E14" i="4"/>
  <c r="AL29" i="4"/>
  <c r="AL27" i="4"/>
  <c r="AC18" i="4"/>
  <c r="I18" i="4"/>
  <c r="V18" i="4" s="1"/>
  <c r="W18" i="4" s="1"/>
  <c r="Y18" i="4" s="1"/>
  <c r="AD18" i="4" s="1"/>
  <c r="H18" i="4"/>
  <c r="AD17" i="4"/>
  <c r="G17" i="4"/>
  <c r="V17" i="4" s="1"/>
  <c r="W17" i="4" s="1"/>
  <c r="X17" i="4" s="1"/>
  <c r="AC17" i="4" s="1"/>
  <c r="AE17" i="4" s="1"/>
  <c r="AD16" i="4"/>
  <c r="V16" i="4"/>
  <c r="W16" i="4" s="1"/>
  <c r="X16" i="4" s="1"/>
  <c r="V15" i="4"/>
  <c r="W15" i="4" s="1"/>
  <c r="Y15" i="4" s="1"/>
  <c r="AD15" i="4" s="1"/>
  <c r="AD14" i="4"/>
  <c r="V14" i="4"/>
  <c r="W14" i="4" s="1"/>
  <c r="X14" i="4" s="1"/>
  <c r="AD13" i="4"/>
  <c r="V13" i="4"/>
  <c r="W13" i="4" s="1"/>
  <c r="X13" i="4" s="1"/>
  <c r="AD12" i="4"/>
  <c r="V12" i="4"/>
  <c r="W12" i="4" s="1"/>
  <c r="X12" i="4" s="1"/>
  <c r="AD11" i="4"/>
  <c r="V11" i="4"/>
  <c r="W11" i="4" s="1"/>
  <c r="X11" i="4" s="1"/>
  <c r="V10" i="4"/>
  <c r="W10" i="4" s="1"/>
  <c r="AD9" i="4"/>
  <c r="V9" i="4"/>
  <c r="W9" i="4" s="1"/>
  <c r="H8" i="4"/>
  <c r="V8" i="4" s="1"/>
  <c r="W8" i="4" s="1"/>
  <c r="Y8" i="4" s="1"/>
  <c r="V7" i="4"/>
  <c r="W7" i="4" s="1"/>
  <c r="AD6" i="4"/>
  <c r="V6" i="4"/>
  <c r="W6" i="4" s="1"/>
  <c r="AD5" i="4"/>
  <c r="V5" i="4"/>
  <c r="W5" i="4" s="1"/>
  <c r="X5" i="4" s="1"/>
  <c r="AL4" i="4"/>
  <c r="AM4" i="4" s="1"/>
  <c r="AM16" i="4" s="1"/>
  <c r="F18" i="3"/>
  <c r="E18" i="3"/>
  <c r="D18" i="3"/>
  <c r="S18" i="3" s="1"/>
  <c r="T18" i="3" s="1"/>
  <c r="U18" i="3" s="1"/>
  <c r="S17" i="3"/>
  <c r="T17" i="3" s="1"/>
  <c r="U17" i="3" s="1"/>
  <c r="S16" i="3"/>
  <c r="T16" i="3" s="1"/>
  <c r="U16" i="3" s="1"/>
  <c r="T15" i="3"/>
  <c r="U15" i="3" s="1"/>
  <c r="S15" i="3"/>
  <c r="S14" i="3"/>
  <c r="T14" i="3" s="1"/>
  <c r="U14" i="3" s="1"/>
  <c r="S13" i="3"/>
  <c r="T13" i="3" s="1"/>
  <c r="U13" i="3" s="1"/>
  <c r="S12" i="3"/>
  <c r="T12" i="3" s="1"/>
  <c r="U12" i="3" s="1"/>
  <c r="T11" i="3"/>
  <c r="U11" i="3" s="1"/>
  <c r="S11" i="3"/>
  <c r="S10" i="3"/>
  <c r="T10" i="3" s="1"/>
  <c r="S9" i="3"/>
  <c r="T9" i="3" s="1"/>
  <c r="E8" i="3"/>
  <c r="S8" i="3" s="1"/>
  <c r="T8" i="3" s="1"/>
  <c r="U8" i="3" s="1"/>
  <c r="S7" i="3"/>
  <c r="T7" i="3" s="1"/>
  <c r="S6" i="3"/>
  <c r="T6" i="3" s="1"/>
  <c r="U6" i="3" s="1"/>
  <c r="S5" i="3"/>
  <c r="T5" i="3" s="1"/>
  <c r="U5" i="3" s="1"/>
  <c r="AE12" i="4" l="1"/>
  <c r="AE13" i="4"/>
  <c r="AE14" i="4"/>
  <c r="AE11" i="4"/>
  <c r="AE15" i="4"/>
  <c r="AE8" i="4"/>
  <c r="AE16" i="4"/>
  <c r="Z5" i="4"/>
  <c r="Z8" i="4"/>
  <c r="Z11" i="4"/>
  <c r="Z13" i="4"/>
  <c r="Z12" i="4"/>
  <c r="Z16" i="4"/>
  <c r="Z15" i="4"/>
  <c r="Z14" i="4"/>
  <c r="Z17" i="4"/>
  <c r="AL30" i="4"/>
  <c r="AP23" i="4"/>
  <c r="X9" i="4"/>
  <c r="U9" i="3"/>
  <c r="Z9" i="4" l="1"/>
  <c r="H16" i="2"/>
  <c r="E16" i="2"/>
  <c r="F16" i="2"/>
  <c r="G16" i="2"/>
  <c r="D16" i="2"/>
  <c r="D3" i="2"/>
  <c r="Z19" i="4" l="1"/>
  <c r="AE19"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tc={37ECDD1A-A5A6-495F-AA7E-809E4F2A6BFB}</author>
  </authors>
  <commentList>
    <comment ref="I18" authorId="0" shapeId="0" xr:uid="{37ECDD1A-A5A6-495F-AA7E-809E4F2A6BFB}">
      <text>
        <t>[Comentario encadenado]
Su versión de Excel le permite leer este comentario encadenado; sin embargo, las ediciones que se apliquen se quitarán si el archivo se abre en una versión más reciente de Excel. Más información: https://go.microsoft.com/fwlink/?linkid=870924
Comentario:
    DESBORDAMIENTO</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tc={7CB32AF1-2CC5-44F7-B3A5-61B1A44281D7}</author>
  </authors>
  <commentList>
    <comment ref="F18" authorId="0" shapeId="0" xr:uid="{7CB32AF1-2CC5-44F7-B3A5-61B1A44281D7}">
      <text>
        <t>[Comentario encadenado]
Su versión de Excel le permite leer este comentario encadenado; sin embargo, las ediciones que se apliquen se quitarán si el archivo se abre en una versión más reciente de Excel. Más información: https://go.microsoft.com/fwlink/?linkid=870924
Comentario:
    DESBORDAMIENTO</t>
      </text>
    </comment>
  </commentList>
</comments>
</file>

<file path=xl/sharedStrings.xml><?xml version="1.0" encoding="utf-8"?>
<sst xmlns="http://schemas.openxmlformats.org/spreadsheetml/2006/main" count="267" uniqueCount="115">
  <si>
    <t xml:space="preserve">INGRESO MATERIAL </t>
  </si>
  <si>
    <t>VIGENCIA</t>
  </si>
  <si>
    <t>No</t>
  </si>
  <si>
    <t>FACTURA</t>
  </si>
  <si>
    <t>VALOR USD</t>
  </si>
  <si>
    <t xml:space="preserve">PAGADO </t>
  </si>
  <si>
    <t>ELEMENTOS</t>
  </si>
  <si>
    <t>QTY</t>
  </si>
  <si>
    <t>COP</t>
  </si>
  <si>
    <t>TOT COP</t>
  </si>
  <si>
    <t xml:space="preserve"> USD</t>
  </si>
  <si>
    <t>TOT USD VALOR INGRESO MATERIAL USD</t>
  </si>
  <si>
    <t>VALOR SOPORTE FINANCIERO USD</t>
  </si>
  <si>
    <t>TOT USD VALOR INGRESO MATERIAL COP</t>
  </si>
  <si>
    <t>VALOR SOPORTE FINANCIERO USD COP</t>
  </si>
  <si>
    <t>MATNR</t>
  </si>
  <si>
    <t>Archivo I</t>
  </si>
  <si>
    <t>PAGO ANTICIPADO VIGENCIA 2023</t>
  </si>
  <si>
    <t>1.0. Factura INVOICE 396002055 USD 16.346.153</t>
  </si>
  <si>
    <t>COMMAND POST (CP) + MPS</t>
  </si>
  <si>
    <t>1.0. Ingreso Inventario CP FSS CRANE TATRA 8X8</t>
  </si>
  <si>
    <t>2.0. Factura INVOICE 396002143 USD 1.463.546,52</t>
  </si>
  <si>
    <t>RADIOS HARRIS RF-7850DV1XX</t>
  </si>
  <si>
    <t>5.0. Ingreso Inventario FAC ILS Y HARRIS</t>
  </si>
  <si>
    <t>3.0. Factura INVOICE 396002204 USD 209.581,99</t>
  </si>
  <si>
    <t>LRAD MISSILES</t>
  </si>
  <si>
    <t>5.1. Ingreso Inventario FAC ILS 2 Y MISIL
7.1. Registro Financiero dic 2025 A.A.</t>
  </si>
  <si>
    <t>4.0. Factura INVOICE 396002293 USD 38.102,95</t>
  </si>
  <si>
    <t>RADAR</t>
  </si>
  <si>
    <t>2.0. Ingreso Inventario FAC RADAR 1</t>
  </si>
  <si>
    <t>5.0. Factura INVOICE 396002390 USD 2.658,2</t>
  </si>
  <si>
    <t>2.1. Ingreso Inventario FAC RADAR 2</t>
  </si>
  <si>
    <t>PAGO ANTICIPADO VIGENCIA 2024</t>
  </si>
  <si>
    <t>6.0. Factura INVOICE 396002543 USD 40.696.274</t>
  </si>
  <si>
    <t>MLS1 (LAUNCHER)</t>
  </si>
  <si>
    <t>3.0. Ingreso Inventario FAC MLS 1</t>
  </si>
  <si>
    <t>PAGO ANTICIPADO VIGENCIA 2025</t>
  </si>
  <si>
    <t>7.0. Factura INVOICE 396003253 USD 6.423.333,95</t>
  </si>
  <si>
    <t>MLS2 (LAUNCHER)</t>
  </si>
  <si>
    <t>3.1. Ingreso Inventafio FAC MLS 2</t>
  </si>
  <si>
    <t>8.0. Factura INVOICE 6000000586 USD 420.349,39</t>
  </si>
  <si>
    <t>RV ISO PALLETS</t>
  </si>
  <si>
    <r>
      <rPr>
        <b/>
        <sz val="12"/>
        <color theme="1"/>
        <rFont val="Calibri"/>
        <family val="2"/>
        <scheme val="minor"/>
      </rPr>
      <t xml:space="preserve">OBSERVACIONES: </t>
    </r>
    <r>
      <rPr>
        <sz val="12"/>
        <color theme="1"/>
        <rFont val="Calibri"/>
        <family val="2"/>
        <scheme val="minor"/>
      </rPr>
      <t xml:space="preserve">VALOR DE PAGO ANTICIPADO EN LAS VIGENCIAS 2023 - 2024 Y 2025 FUE DE </t>
    </r>
    <r>
      <rPr>
        <b/>
        <sz val="12"/>
        <color theme="1"/>
        <rFont val="Calibri"/>
        <family val="2"/>
        <scheme val="minor"/>
      </rPr>
      <t>USD 65.600.000,00</t>
    </r>
  </si>
  <si>
    <t>CASSETTE</t>
  </si>
  <si>
    <t>4.0. Ingreso Inventario FAC CASSETTEs</t>
  </si>
  <si>
    <t>FSS</t>
  </si>
  <si>
    <t>1.0. Ingreso Inventario CP FSS CRANE TATRA 8X8
6.0. FSS SIN CONTRAPRESTACION VALOR CONTABLE</t>
  </si>
  <si>
    <t>CRANE</t>
  </si>
  <si>
    <t>TATRA 8X8</t>
  </si>
  <si>
    <t>BIEN</t>
  </si>
  <si>
    <t>VALOR DE BIENES ENTREGADOS</t>
  </si>
  <si>
    <t>POR PAGAR</t>
  </si>
  <si>
    <t>ILS</t>
  </si>
  <si>
    <t>LOT</t>
  </si>
  <si>
    <t>del 1906681 al 1244862</t>
  </si>
  <si>
    <t>9.0. INVOICE 6000032231 - BARAK MAIN SYSTEM - MOD</t>
  </si>
  <si>
    <t>1906734
1906735
1906701</t>
  </si>
  <si>
    <t>CESSETTES</t>
  </si>
  <si>
    <t>ISO PALLETS</t>
  </si>
  <si>
    <t>10.0. INVOICE 6000032237 - MISSILE LRAD</t>
  </si>
  <si>
    <t>TATRA 8X8 VEHICLE FOR CRANE</t>
  </si>
  <si>
    <t>11.0. INVOICE 6000032240 - 8X8 TATRA &amp; CRANE</t>
  </si>
  <si>
    <t>12.0. INVOICE 60000355206RADIOS L3 HARRIS</t>
  </si>
  <si>
    <t>FSS POR CONTRATO ES DE $0</t>
  </si>
  <si>
    <r>
      <rPr>
        <b/>
        <sz val="11"/>
        <color rgb="FF000000"/>
        <rFont val="Calibri"/>
        <family val="2"/>
        <scheme val="minor"/>
      </rPr>
      <t xml:space="preserve">OBSERVACIONES: 
</t>
    </r>
    <r>
      <rPr>
        <sz val="11"/>
        <color rgb="FF000000"/>
        <rFont val="Calibri"/>
        <family val="2"/>
        <scheme val="minor"/>
      </rPr>
      <t xml:space="preserve">1. El valor en bienes el 2025 fue </t>
    </r>
    <r>
      <rPr>
        <b/>
        <sz val="11"/>
        <color rgb="FF000000"/>
        <rFont val="Calibri"/>
        <family val="2"/>
        <scheme val="minor"/>
      </rPr>
      <t>USD 84.913.628</t>
    </r>
    <r>
      <rPr>
        <sz val="11"/>
        <color rgb="FF000000"/>
        <rFont val="Calibri"/>
        <family val="2"/>
        <scheme val="minor"/>
      </rPr>
      <t xml:space="preserve"> sin embargo el FSS contractualmente esta con valor 0 aunque comercialmente esta por valor de USD 420.500,00.
</t>
    </r>
  </si>
  <si>
    <r>
      <t xml:space="preserve">2. Teniendo en cuenta que se ralizaron pagos anticipados por valor de </t>
    </r>
    <r>
      <rPr>
        <b/>
        <sz val="11"/>
        <color theme="1"/>
        <rFont val="Calibri"/>
        <family val="2"/>
        <scheme val="minor"/>
      </rPr>
      <t>USD 65.600.000</t>
    </r>
    <r>
      <rPr>
        <sz val="11"/>
        <color theme="1"/>
        <rFont val="Calibri"/>
        <family val="2"/>
        <scheme val="minor"/>
      </rPr>
      <t xml:space="preserve"> y el total de elementos entregados fue </t>
    </r>
    <r>
      <rPr>
        <b/>
        <sz val="11"/>
        <color theme="1"/>
        <rFont val="Calibri"/>
        <family val="2"/>
        <scheme val="minor"/>
      </rPr>
      <t>USD 84.493.128</t>
    </r>
    <r>
      <rPr>
        <sz val="11"/>
        <color theme="1"/>
        <rFont val="Calibri"/>
        <family val="2"/>
        <scheme val="minor"/>
      </rPr>
      <t xml:space="preserve"> esta pendiente completar el pago por valor de </t>
    </r>
    <r>
      <rPr>
        <b/>
        <sz val="11"/>
        <color theme="1"/>
        <rFont val="Calibri"/>
        <family val="2"/>
        <scheme val="minor"/>
      </rPr>
      <t>USD 18.893.128</t>
    </r>
    <r>
      <rPr>
        <sz val="11"/>
        <color theme="1"/>
        <rFont val="Calibri"/>
        <family val="2"/>
        <scheme val="minor"/>
      </rPr>
      <t xml:space="preserve"> como indica la factura INVOICE 6000032231</t>
    </r>
  </si>
  <si>
    <t>Facturas</t>
  </si>
  <si>
    <t>TOT USD</t>
  </si>
  <si>
    <t>5.1. Ingreso Inventario FAC ILS 2 Y MISIL
7.0. TABLA DESBORDAMIENTO MISIL y PARTE DE ILS</t>
  </si>
  <si>
    <t>MLS1</t>
  </si>
  <si>
    <t>MLS2</t>
  </si>
  <si>
    <t>1906681
1906682
1906683
1906684
1906685
1906720
1906721
1906722
1906623
1906624
1906625
1906626
1906627
1906628
1906629
1906630
1906631
1906632
1906633
1244870
1244872
1244873
1244875
1244869
1244869
1906686
1906687
1906688
1906689
1906690
1906691
1906719
1906692
1906693
1906694
1906695
1906696
1906697
1906698
1906699
1906700
1906702
1906703
1906704
1906705
1906706
1906707
1906708
1906709
1906710
1906711
1906712
1906713
1244858
1906714
1906715
1906716
1244865
1906717
1906718
1244866
1244868
1244861
1244861
1244860
1244862</t>
  </si>
  <si>
    <t>DESCRIPCIÓN</t>
  </si>
  <si>
    <t>Misil</t>
  </si>
  <si>
    <t>Radar</t>
  </si>
  <si>
    <t>Lanzador</t>
  </si>
  <si>
    <t xml:space="preserve">Pallets para adaptar en camion TATRA para cargar cassetes </t>
  </si>
  <si>
    <t>Shelter de 20 pies para transporte de repuestos</t>
  </si>
  <si>
    <t>Grua de carga</t>
  </si>
  <si>
    <t>Repuestos del Sistema</t>
  </si>
  <si>
    <t>SE EXCLUYE CAMION TATRA</t>
  </si>
  <si>
    <t>Soporte de Misiles</t>
  </si>
  <si>
    <t>Puesto de Comando Shelter de 20 pies con computadores y sistemas de comunicaciones y 02 Generadores (MPS)</t>
  </si>
  <si>
    <t>CANTIDAD</t>
  </si>
  <si>
    <t>VALOR TOTAL 
USD</t>
  </si>
  <si>
    <t>VALOR TOTAL COP</t>
  </si>
  <si>
    <t>VALOR
UNITARIO USD</t>
  </si>
  <si>
    <t>VALOR
UNITARIO COP</t>
  </si>
  <si>
    <t>Radio de Comunicaciones seguras con amplificadores</t>
  </si>
  <si>
    <t>Radio de Comunicaciones seguras</t>
  </si>
  <si>
    <r>
      <rPr>
        <b/>
        <sz val="16"/>
        <color theme="1"/>
        <rFont val="Calibri"/>
        <family val="2"/>
        <scheme val="minor"/>
      </rPr>
      <t xml:space="preserve">NOTA: </t>
    </r>
    <r>
      <rPr>
        <sz val="16"/>
        <color theme="1"/>
        <rFont val="Calibri"/>
        <family val="2"/>
        <scheme val="minor"/>
      </rPr>
      <t xml:space="preserve">PARA LOS VALORES EN PESOS SE TOMO COMO REFERENCIA LA TRM CON LA CUAL FUERON CARGADOS A LOS INVENTARIOS FAC POR VALOR DE </t>
    </r>
    <r>
      <rPr>
        <b/>
        <sz val="16"/>
        <color theme="1"/>
        <rFont val="Calibri"/>
        <family val="2"/>
        <scheme val="minor"/>
      </rPr>
      <t>$4.150</t>
    </r>
  </si>
  <si>
    <t>MINISTERIO DE DEFENSA NACIONAL</t>
  </si>
  <si>
    <t>Fuerza Aerea Colombiana Comando FAC</t>
  </si>
  <si>
    <t>POLIZA EQUIPO &amp; MAQUINARIA</t>
  </si>
  <si>
    <t>PERIODO DE COBERTURA</t>
  </si>
  <si>
    <t>Inicio vigencia</t>
  </si>
  <si>
    <t>Fin de vigencia</t>
  </si>
  <si>
    <t>Dias vigencia</t>
  </si>
  <si>
    <t>ITEM ASEGURADO</t>
  </si>
  <si>
    <t>VALOR ASEGURADO</t>
  </si>
  <si>
    <t>Inclusión de bienes</t>
  </si>
  <si>
    <t>CALCULO DE PRIMA COTIZACIÓN PARA ESTUDIO PREVIO</t>
  </si>
  <si>
    <t>TOTAL VALOR ASEGURADO</t>
  </si>
  <si>
    <t>TASA</t>
  </si>
  <si>
    <t>PRIMA</t>
  </si>
  <si>
    <t>IVA</t>
  </si>
  <si>
    <t>TOTAL PRIMA</t>
  </si>
  <si>
    <t>CALCULO PARA EXPEDICION DE LA POLIZA</t>
  </si>
  <si>
    <r>
      <t xml:space="preserve">De conformidad con las condiciones del numeral 5.12 </t>
    </r>
    <r>
      <rPr>
        <b/>
        <i/>
        <sz val="12"/>
        <rFont val="Arial Narrow"/>
        <family val="2"/>
        <charset val="1"/>
      </rPr>
      <t xml:space="preserve">Adiciones y Prorrogas </t>
    </r>
    <r>
      <rPr>
        <i/>
        <sz val="12"/>
        <rFont val="Arial Narrow"/>
        <family val="2"/>
        <charset val="1"/>
      </rPr>
      <t xml:space="preserve">del Pliego Definitivo </t>
    </r>
    <r>
      <rPr>
        <sz val="12"/>
        <rFont val="Arial Narrow"/>
        <family val="2"/>
        <charset val="1"/>
      </rPr>
      <t>de la Licitación Pública N° 013-2022  la compañía acepta realizar la presente modificación al contrato en los términos de la cotización presentada, es decir, garantizando las coberturas, tasas, vigencias, deducibles  y clausulas  pactadas en los términos del contrato vigente</t>
    </r>
    <r>
      <rPr>
        <sz val="12"/>
        <color rgb="FF000000"/>
        <rFont val="Arial Narrow"/>
        <family val="2"/>
        <charset val="1"/>
      </rPr>
      <t>.</t>
    </r>
  </si>
  <si>
    <t>Grua de carga CRANE</t>
  </si>
  <si>
    <t>POLIZA TRDM</t>
  </si>
  <si>
    <t>TRDM</t>
  </si>
  <si>
    <t>Valor cotizado de acuerdo a correo electrónico de fecha 12/02/2026, emitido por Aseguradora MAPFRE Seguros de Colombia, para un valor de prima de $ 774.979.786,00 (IVA INCLUIDO) el cual fue redondeado a través de aproximación aritmética al número entero más cercano</t>
  </si>
  <si>
    <t>Valor cotizado de acuerdo a correo electrónico de fecha 12/02/2026, emitido por Aseguradora MAPFRE Seguros de Colombia, para un valor de prima de $XXX (IVA INCLUIDO) el cual fue redondeado a través de aproximación aritmética al número entero más cercano</t>
  </si>
  <si>
    <t xml:space="preserve">VALOR ASEGURADO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</si>
</sst>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quot;$&quot;\ * #,##0_-;_-&quot;$&quot;\ * &quot;-&quot;??_-;_-@_-"/>
    <numFmt numFmtId="165" formatCode="_(* #,##0_);_(* \(#,##0\);_(* &quot;-&quot;??_);_(@_)"/>
    <numFmt numFmtId="166" formatCode="0.000000000000000"/>
    <numFmt numFmtId="167" formatCode="[$$-240A]\ #,##0.00"/>
    <numFmt numFmtId="168" formatCode="_-&quot;$&quot;\ * #,##0.00_-;\-&quot;$&quot;\ * #,##0.00_-;_-&quot;$&quot;\ * &quot;-&quot;_-;_-@_-"/>
    <numFmt numFmtId="169" formatCode="0.00000000000000"/>
    <numFmt numFmtId="170" formatCode="[$$-240A]\ #,##0"/>
  </numFmts>
  <fonts count="23"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b/>
      <sz val="11"/>
      <color rgb="FF000000"/>
      <name val="Calibri"/>
      <family val="2"/>
      <scheme val="minor"/>
    </font>
    <font>
      <sz val="11"/>
      <color rgb="FF000000"/>
      <name val="Calibri"/>
      <family val="2"/>
      <scheme val="minor"/>
    </font>
    <font>
      <sz val="16"/>
      <color theme="1"/>
      <name val="Calibri"/>
      <family val="2"/>
      <scheme val="minor"/>
    </font>
    <font>
      <b/>
      <sz val="16"/>
      <color theme="1"/>
      <name val="Calibri"/>
      <family val="2"/>
      <scheme val="minor"/>
    </font>
    <font>
      <sz val="11"/>
      <color theme="0"/>
      <name val="Calibri"/>
      <family val="2"/>
      <scheme val="minor"/>
    </font>
    <font>
      <b/>
      <sz val="11"/>
      <color rgb="FF222222"/>
      <name val="Calibri"/>
      <family val="2"/>
    </font>
    <font>
      <b/>
      <sz val="11"/>
      <color rgb="FF000000"/>
      <name val="Calibri"/>
      <family val="2"/>
    </font>
    <font>
      <b/>
      <sz val="10"/>
      <color theme="0"/>
      <name val="Calibri"/>
      <family val="2"/>
    </font>
    <font>
      <sz val="12"/>
      <name val="Calibri"/>
      <family val="2"/>
      <scheme val="minor"/>
    </font>
    <font>
      <sz val="12"/>
      <color rgb="FF000000"/>
      <name val="Calibri"/>
      <family val="2"/>
    </font>
    <font>
      <b/>
      <sz val="12"/>
      <color rgb="FF000000"/>
      <name val="Calibri"/>
      <family val="2"/>
    </font>
    <font>
      <b/>
      <sz val="11"/>
      <color theme="0"/>
      <name val="Calibri"/>
      <family val="2"/>
    </font>
    <font>
      <sz val="12"/>
      <name val="Arial Narrow"/>
      <family val="2"/>
    </font>
    <font>
      <b/>
      <i/>
      <sz val="12"/>
      <name val="Arial Narrow"/>
      <family val="2"/>
      <charset val="1"/>
    </font>
    <font>
      <i/>
      <sz val="12"/>
      <name val="Arial Narrow"/>
      <family val="2"/>
      <charset val="1"/>
    </font>
    <font>
      <sz val="12"/>
      <name val="Arial Narrow"/>
      <family val="2"/>
      <charset val="1"/>
    </font>
    <font>
      <sz val="12"/>
      <color rgb="FF000000"/>
      <name val="Arial Narrow"/>
      <family val="2"/>
      <charset val="1"/>
    </font>
    <font>
      <sz val="12"/>
      <color theme="1"/>
      <name val="Arial Narrow"/>
      <family val="2"/>
    </font>
  </fonts>
  <fills count="14">
    <fill>
      <patternFill patternType="none"/>
    </fill>
    <fill>
      <patternFill patternType="gray125"/>
    </fill>
    <fill>
      <patternFill patternType="solid">
        <fgColor rgb="FF92D050"/>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rgb="FFFF000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FFFFFF"/>
        <bgColor indexed="64"/>
      </patternFill>
    </fill>
    <fill>
      <patternFill patternType="solid">
        <fgColor rgb="FFC00000"/>
        <bgColor indexed="64"/>
      </patternFill>
    </fill>
    <fill>
      <patternFill patternType="solid">
        <fgColor theme="9" tint="0.59999389629810485"/>
        <bgColor indexed="64"/>
      </patternFill>
    </fill>
  </fills>
  <borders count="7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style="medium">
        <color indexed="64"/>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5">
    <xf numFmtId="0" fontId="0" fillId="0" borderId="0"/>
    <xf numFmtId="44"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cellStyleXfs>
  <cellXfs count="329">
    <xf numFmtId="0" fontId="0" fillId="0" borderId="0" xfId="0"/>
    <xf numFmtId="44" fontId="0" fillId="0" borderId="0" xfId="1" applyFont="1"/>
    <xf numFmtId="44" fontId="0" fillId="0" borderId="0" xfId="0" applyNumberFormat="1"/>
    <xf numFmtId="0" fontId="0" fillId="0" borderId="0" xfId="0" applyAlignment="1">
      <alignment horizontal="center"/>
    </xf>
    <xf numFmtId="0" fontId="0" fillId="0" borderId="0" xfId="0" applyAlignment="1">
      <alignment horizontal="center" vertical="center"/>
    </xf>
    <xf numFmtId="0" fontId="0" fillId="0" borderId="1" xfId="0" applyBorder="1"/>
    <xf numFmtId="44" fontId="0" fillId="0" borderId="1" xfId="1" applyFont="1" applyBorder="1"/>
    <xf numFmtId="164" fontId="0" fillId="0" borderId="0" xfId="0" applyNumberFormat="1"/>
    <xf numFmtId="0" fontId="0" fillId="0" borderId="3" xfId="0" applyBorder="1" applyAlignment="1">
      <alignment horizontal="center" vertical="center"/>
    </xf>
    <xf numFmtId="44" fontId="0" fillId="5" borderId="1" xfId="0" applyNumberFormat="1" applyFill="1" applyBorder="1"/>
    <xf numFmtId="164" fontId="0" fillId="0" borderId="6" xfId="0" applyNumberFormat="1" applyBorder="1"/>
    <xf numFmtId="164" fontId="0" fillId="0" borderId="8" xfId="0" applyNumberFormat="1" applyBorder="1"/>
    <xf numFmtId="0" fontId="0" fillId="0" borderId="3" xfId="0" applyBorder="1"/>
    <xf numFmtId="0" fontId="2" fillId="0" borderId="10" xfId="0" applyFont="1" applyBorder="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0" fontId="2" fillId="0" borderId="9" xfId="0" applyFont="1" applyBorder="1" applyAlignment="1">
      <alignment horizontal="center"/>
    </xf>
    <xf numFmtId="0" fontId="0" fillId="0" borderId="16" xfId="0" applyBorder="1"/>
    <xf numFmtId="0" fontId="0" fillId="5" borderId="16" xfId="0" applyFill="1" applyBorder="1" applyAlignment="1">
      <alignment horizontal="left" vertical="center"/>
    </xf>
    <xf numFmtId="0" fontId="0" fillId="0" borderId="17" xfId="0" applyBorder="1"/>
    <xf numFmtId="0" fontId="0" fillId="0" borderId="19" xfId="0" applyBorder="1"/>
    <xf numFmtId="44" fontId="2" fillId="0" borderId="13" xfId="1" applyFont="1" applyBorder="1" applyAlignment="1">
      <alignment horizontal="center"/>
    </xf>
    <xf numFmtId="0" fontId="0" fillId="0" borderId="16" xfId="0" applyBorder="1" applyAlignment="1">
      <alignment horizontal="center"/>
    </xf>
    <xf numFmtId="0" fontId="0" fillId="5" borderId="20" xfId="0" applyFill="1" applyBorder="1" applyAlignment="1">
      <alignment horizontal="center" vertical="center"/>
    </xf>
    <xf numFmtId="0" fontId="0" fillId="0" borderId="17" xfId="0" applyBorder="1" applyAlignment="1">
      <alignment horizontal="center"/>
    </xf>
    <xf numFmtId="0" fontId="0" fillId="0" borderId="19" xfId="0" applyBorder="1" applyAlignment="1">
      <alignment horizontal="center"/>
    </xf>
    <xf numFmtId="44" fontId="0" fillId="0" borderId="14" xfId="0" applyNumberFormat="1" applyBorder="1"/>
    <xf numFmtId="44" fontId="0" fillId="0" borderId="15" xfId="0" applyNumberFormat="1" applyBorder="1"/>
    <xf numFmtId="44" fontId="0" fillId="0" borderId="21" xfId="1" applyFont="1" applyBorder="1"/>
    <xf numFmtId="44" fontId="0" fillId="0" borderId="22" xfId="1" applyFont="1" applyBorder="1"/>
    <xf numFmtId="44" fontId="0" fillId="0" borderId="23" xfId="1" applyFont="1" applyBorder="1"/>
    <xf numFmtId="44" fontId="0" fillId="0" borderId="24" xfId="1" applyFont="1" applyBorder="1"/>
    <xf numFmtId="0" fontId="0" fillId="0" borderId="25" xfId="0" applyBorder="1"/>
    <xf numFmtId="44" fontId="0" fillId="7" borderId="24" xfId="1" applyFont="1" applyFill="1" applyBorder="1"/>
    <xf numFmtId="44" fontId="0" fillId="0" borderId="25" xfId="1" applyFont="1" applyBorder="1"/>
    <xf numFmtId="44" fontId="0" fillId="0" borderId="26" xfId="1" applyFont="1" applyBorder="1"/>
    <xf numFmtId="44" fontId="0" fillId="7" borderId="27" xfId="1" applyFont="1" applyFill="1" applyBorder="1"/>
    <xf numFmtId="0" fontId="0" fillId="0" borderId="27" xfId="0" applyBorder="1"/>
    <xf numFmtId="0" fontId="0" fillId="0" borderId="28" xfId="0" applyBorder="1"/>
    <xf numFmtId="0" fontId="2" fillId="0" borderId="29" xfId="0" applyFont="1" applyBorder="1" applyAlignment="1">
      <alignment horizontal="center"/>
    </xf>
    <xf numFmtId="164" fontId="0" fillId="4" borderId="1" xfId="0" applyNumberFormat="1" applyFill="1" applyBorder="1"/>
    <xf numFmtId="164" fontId="0" fillId="2" borderId="1" xfId="0" applyNumberFormat="1" applyFill="1" applyBorder="1"/>
    <xf numFmtId="164" fontId="0" fillId="3" borderId="1" xfId="0" applyNumberFormat="1" applyFill="1" applyBorder="1"/>
    <xf numFmtId="0" fontId="0" fillId="0" borderId="1" xfId="0" applyBorder="1" applyAlignment="1">
      <alignment wrapText="1"/>
    </xf>
    <xf numFmtId="44" fontId="0" fillId="0" borderId="15" xfId="0" applyNumberFormat="1" applyBorder="1" applyAlignment="1">
      <alignment vertical="center"/>
    </xf>
    <xf numFmtId="164" fontId="0" fillId="0" borderId="1" xfId="0" applyNumberFormat="1" applyBorder="1" applyAlignment="1">
      <alignment vertical="center"/>
    </xf>
    <xf numFmtId="0" fontId="2" fillId="0" borderId="30" xfId="0" applyFont="1" applyBorder="1" applyAlignment="1">
      <alignment horizontal="center"/>
    </xf>
    <xf numFmtId="2" fontId="0" fillId="0" borderId="6" xfId="0" applyNumberFormat="1" applyBorder="1" applyAlignment="1">
      <alignment horizontal="center" vertical="center"/>
    </xf>
    <xf numFmtId="2" fontId="0" fillId="0" borderId="7" xfId="0" applyNumberFormat="1" applyBorder="1" applyAlignment="1">
      <alignment horizontal="center" vertical="center"/>
    </xf>
    <xf numFmtId="2" fontId="0" fillId="0" borderId="8" xfId="0" applyNumberFormat="1" applyBorder="1" applyAlignment="1">
      <alignment horizontal="center" vertical="center"/>
    </xf>
    <xf numFmtId="1" fontId="0" fillId="0" borderId="6" xfId="0" applyNumberFormat="1" applyBorder="1" applyAlignment="1">
      <alignment horizontal="center" vertical="center"/>
    </xf>
    <xf numFmtId="164" fontId="0" fillId="6" borderId="6" xfId="0" applyNumberFormat="1" applyFill="1" applyBorder="1" applyAlignment="1">
      <alignment vertical="center"/>
    </xf>
    <xf numFmtId="1" fontId="0" fillId="6" borderId="6" xfId="0" applyNumberFormat="1" applyFill="1" applyBorder="1" applyAlignment="1">
      <alignment horizontal="center" vertical="center"/>
    </xf>
    <xf numFmtId="0" fontId="0" fillId="0" borderId="1" xfId="0" applyBorder="1" applyAlignment="1">
      <alignment vertical="center" wrapText="1"/>
    </xf>
    <xf numFmtId="44" fontId="0" fillId="0" borderId="31" xfId="1" applyFont="1" applyBorder="1"/>
    <xf numFmtId="44" fontId="0" fillId="0" borderId="32" xfId="1" applyFont="1" applyBorder="1"/>
    <xf numFmtId="0" fontId="0" fillId="0" borderId="0" xfId="0" applyAlignment="1">
      <alignment wrapText="1"/>
    </xf>
    <xf numFmtId="0" fontId="0" fillId="0" borderId="0" xfId="0" applyAlignment="1">
      <alignment vertical="center" wrapText="1"/>
    </xf>
    <xf numFmtId="1" fontId="0" fillId="0" borderId="8" xfId="0" applyNumberFormat="1" applyBorder="1" applyAlignment="1">
      <alignment horizontal="center" vertical="center"/>
    </xf>
    <xf numFmtId="0" fontId="0" fillId="0" borderId="0" xfId="0" applyAlignment="1">
      <alignment horizontal="center" vertical="center" wrapText="1"/>
    </xf>
    <xf numFmtId="44" fontId="0" fillId="0" borderId="27" xfId="1" applyFont="1" applyBorder="1" applyAlignment="1">
      <alignment vertical="center"/>
    </xf>
    <xf numFmtId="44" fontId="0" fillId="0" borderId="6" xfId="1" applyFont="1" applyBorder="1"/>
    <xf numFmtId="44" fontId="0" fillId="0" borderId="1" xfId="1" applyFont="1" applyBorder="1" applyAlignment="1">
      <alignment vertical="center"/>
    </xf>
    <xf numFmtId="0" fontId="0" fillId="0" borderId="0" xfId="0" applyAlignment="1">
      <alignment vertical="top"/>
    </xf>
    <xf numFmtId="44" fontId="2" fillId="8" borderId="38" xfId="1" applyFont="1" applyFill="1" applyBorder="1"/>
    <xf numFmtId="0" fontId="0" fillId="0" borderId="24" xfId="0" applyBorder="1"/>
    <xf numFmtId="44" fontId="0" fillId="0" borderId="3" xfId="1" applyFont="1" applyBorder="1" applyAlignment="1">
      <alignment vertical="center"/>
    </xf>
    <xf numFmtId="0" fontId="0" fillId="5" borderId="24" xfId="0" applyFill="1" applyBorder="1" applyAlignment="1">
      <alignment horizontal="left" vertical="center"/>
    </xf>
    <xf numFmtId="0" fontId="0" fillId="0" borderId="26" xfId="0" applyBorder="1"/>
    <xf numFmtId="44" fontId="2" fillId="0" borderId="38" xfId="0" applyNumberFormat="1" applyFont="1" applyBorder="1"/>
    <xf numFmtId="44" fontId="0" fillId="0" borderId="18" xfId="1" applyFont="1" applyBorder="1"/>
    <xf numFmtId="0" fontId="0" fillId="0" borderId="1" xfId="0" applyBorder="1" applyAlignment="1">
      <alignment horizontal="center" vertical="center"/>
    </xf>
    <xf numFmtId="0" fontId="0" fillId="0" borderId="27" xfId="0" applyBorder="1" applyAlignment="1">
      <alignment horizontal="center" vertical="center"/>
    </xf>
    <xf numFmtId="0" fontId="0" fillId="0" borderId="0" xfId="0" applyAlignment="1">
      <alignment vertical="center"/>
    </xf>
    <xf numFmtId="0" fontId="0" fillId="0" borderId="25" xfId="0" applyBorder="1" applyAlignment="1">
      <alignment wrapText="1"/>
    </xf>
    <xf numFmtId="0" fontId="0" fillId="0" borderId="25" xfId="0" applyBorder="1" applyAlignment="1">
      <alignment vertical="center" wrapText="1"/>
    </xf>
    <xf numFmtId="0" fontId="0" fillId="0" borderId="28" xfId="0" applyBorder="1" applyAlignment="1">
      <alignment vertical="center" wrapText="1"/>
    </xf>
    <xf numFmtId="0" fontId="2" fillId="0" borderId="12" xfId="0" applyFont="1" applyBorder="1" applyAlignment="1">
      <alignment horizontal="center" vertical="center"/>
    </xf>
    <xf numFmtId="0" fontId="0" fillId="0" borderId="24" xfId="0" applyBorder="1" applyAlignment="1">
      <alignment vertical="center"/>
    </xf>
    <xf numFmtId="44" fontId="0" fillId="5" borderId="1" xfId="1" applyFont="1" applyFill="1" applyBorder="1" applyAlignment="1">
      <alignment vertical="center"/>
    </xf>
    <xf numFmtId="44" fontId="0" fillId="5" borderId="27" xfId="1" applyFont="1" applyFill="1" applyBorder="1" applyAlignment="1">
      <alignment vertical="center"/>
    </xf>
    <xf numFmtId="44" fontId="0" fillId="0" borderId="1" xfId="1" applyFont="1" applyBorder="1" applyAlignment="1">
      <alignment horizontal="left" vertical="center"/>
    </xf>
    <xf numFmtId="44" fontId="0" fillId="0" borderId="27" xfId="1" applyFont="1" applyBorder="1" applyAlignment="1">
      <alignment horizontal="left" vertical="center"/>
    </xf>
    <xf numFmtId="44" fontId="0" fillId="0" borderId="3" xfId="1" applyFont="1" applyBorder="1" applyAlignment="1">
      <alignment horizontal="left" vertical="center"/>
    </xf>
    <xf numFmtId="44" fontId="0" fillId="0" borderId="4" xfId="1" applyFont="1" applyFill="1" applyBorder="1" applyAlignment="1">
      <alignment horizontal="left" vertical="center"/>
    </xf>
    <xf numFmtId="0" fontId="0" fillId="0" borderId="24" xfId="0" applyBorder="1" applyAlignment="1">
      <alignment horizontal="center" vertical="center"/>
    </xf>
    <xf numFmtId="44" fontId="0" fillId="0" borderId="41" xfId="1" applyFont="1" applyBorder="1"/>
    <xf numFmtId="44" fontId="0" fillId="5" borderId="1" xfId="1" applyFont="1" applyFill="1" applyBorder="1"/>
    <xf numFmtId="0" fontId="0" fillId="0" borderId="44" xfId="0" applyBorder="1" applyAlignment="1">
      <alignment horizontal="left" vertical="center"/>
    </xf>
    <xf numFmtId="0" fontId="0" fillId="5" borderId="45" xfId="0" applyFill="1" applyBorder="1" applyAlignment="1">
      <alignment horizontal="left" vertical="center"/>
    </xf>
    <xf numFmtId="0" fontId="0" fillId="0" borderId="44" xfId="0" applyBorder="1"/>
    <xf numFmtId="0" fontId="0" fillId="0" borderId="21" xfId="0" applyBorder="1" applyAlignment="1">
      <alignment horizontal="center" vertical="center"/>
    </xf>
    <xf numFmtId="0" fontId="0" fillId="0" borderId="43" xfId="0" applyBorder="1" applyAlignment="1">
      <alignment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44" fontId="2" fillId="0" borderId="11" xfId="1" applyFont="1" applyBorder="1" applyAlignment="1">
      <alignment horizontal="center" vertical="center"/>
    </xf>
    <xf numFmtId="0" fontId="0" fillId="0" borderId="62" xfId="0" applyBorder="1" applyAlignment="1">
      <alignment vertical="center"/>
    </xf>
    <xf numFmtId="0" fontId="2" fillId="0" borderId="54" xfId="0" applyFont="1" applyBorder="1" applyAlignment="1">
      <alignment horizontal="center" vertical="center"/>
    </xf>
    <xf numFmtId="0" fontId="2" fillId="0" borderId="31" xfId="0" applyFont="1" applyBorder="1" applyAlignment="1">
      <alignment horizontal="center" vertical="center"/>
    </xf>
    <xf numFmtId="0" fontId="2" fillId="0" borderId="61" xfId="0" applyFont="1" applyBorder="1" applyAlignment="1">
      <alignment horizontal="center" vertical="center"/>
    </xf>
    <xf numFmtId="0" fontId="0" fillId="0" borderId="23" xfId="0" applyBorder="1"/>
    <xf numFmtId="1" fontId="0" fillId="0" borderId="63" xfId="0" applyNumberFormat="1" applyBorder="1" applyAlignment="1">
      <alignment horizontal="center" vertical="center"/>
    </xf>
    <xf numFmtId="1" fontId="0" fillId="0" borderId="15" xfId="0" applyNumberFormat="1" applyBorder="1" applyAlignment="1">
      <alignment horizontal="center" vertical="center"/>
    </xf>
    <xf numFmtId="2" fontId="0" fillId="0" borderId="15" xfId="0" applyNumberFormat="1" applyBorder="1" applyAlignment="1">
      <alignment horizontal="center" vertical="center"/>
    </xf>
    <xf numFmtId="1" fontId="0" fillId="5" borderId="15" xfId="0" applyNumberFormat="1" applyFill="1" applyBorder="1" applyAlignment="1">
      <alignment horizontal="center" vertical="center"/>
    </xf>
    <xf numFmtId="2" fontId="0" fillId="0" borderId="15" xfId="0" applyNumberFormat="1" applyBorder="1" applyAlignment="1">
      <alignment horizontal="center" vertical="center" wrapText="1"/>
    </xf>
    <xf numFmtId="0" fontId="0" fillId="0" borderId="64" xfId="0" applyBorder="1" applyAlignment="1">
      <alignment horizontal="center" vertical="center" wrapText="1"/>
    </xf>
    <xf numFmtId="0" fontId="0" fillId="0" borderId="18" xfId="0" applyBorder="1" applyAlignment="1">
      <alignment vertical="center"/>
    </xf>
    <xf numFmtId="0" fontId="0" fillId="0" borderId="16" xfId="0" applyBorder="1" applyAlignment="1">
      <alignment vertical="center"/>
    </xf>
    <xf numFmtId="164" fontId="2" fillId="0" borderId="0" xfId="0" applyNumberFormat="1" applyFont="1"/>
    <xf numFmtId="164" fontId="0" fillId="9" borderId="1" xfId="0" applyNumberFormat="1" applyFill="1" applyBorder="1" applyAlignment="1">
      <alignment vertical="center"/>
    </xf>
    <xf numFmtId="164" fontId="0" fillId="9" borderId="1" xfId="0" applyNumberFormat="1" applyFill="1" applyBorder="1" applyAlignment="1">
      <alignment horizontal="center" vertical="center"/>
    </xf>
    <xf numFmtId="0" fontId="0" fillId="0" borderId="51" xfId="0" applyBorder="1" applyAlignment="1">
      <alignment wrapText="1"/>
    </xf>
    <xf numFmtId="0" fontId="0" fillId="5" borderId="31" xfId="0" applyFill="1" applyBorder="1" applyAlignment="1">
      <alignment vertical="center"/>
    </xf>
    <xf numFmtId="0" fontId="0" fillId="0" borderId="67" xfId="0" applyBorder="1"/>
    <xf numFmtId="0" fontId="0" fillId="0" borderId="67" xfId="0" applyBorder="1" applyAlignment="1">
      <alignment vertical="center"/>
    </xf>
    <xf numFmtId="0" fontId="0" fillId="0" borderId="57" xfId="0" applyBorder="1" applyAlignment="1">
      <alignment vertical="center"/>
    </xf>
    <xf numFmtId="164" fontId="2" fillId="0" borderId="42" xfId="0" applyNumberFormat="1" applyFont="1" applyBorder="1"/>
    <xf numFmtId="0" fontId="2" fillId="9" borderId="36" xfId="0" applyFont="1" applyFill="1" applyBorder="1" applyAlignment="1">
      <alignment horizontal="center" vertical="center" wrapText="1"/>
    </xf>
    <xf numFmtId="164" fontId="0" fillId="9" borderId="6" xfId="0" applyNumberFormat="1" applyFill="1" applyBorder="1" applyAlignment="1">
      <alignment vertical="center"/>
    </xf>
    <xf numFmtId="0" fontId="2" fillId="0" borderId="0" xfId="0" applyFont="1" applyAlignment="1">
      <alignment horizontal="center" vertical="center"/>
    </xf>
    <xf numFmtId="164" fontId="0" fillId="10" borderId="1" xfId="0" applyNumberFormat="1" applyFill="1" applyBorder="1" applyAlignment="1">
      <alignment vertical="center"/>
    </xf>
    <xf numFmtId="0" fontId="2" fillId="10" borderId="23" xfId="0" applyFont="1" applyFill="1" applyBorder="1" applyAlignment="1">
      <alignment horizontal="center" vertical="center" wrapText="1"/>
    </xf>
    <xf numFmtId="164" fontId="0" fillId="10" borderId="25" xfId="0" applyNumberFormat="1" applyFill="1" applyBorder="1" applyAlignment="1">
      <alignment vertical="center"/>
    </xf>
    <xf numFmtId="0" fontId="2" fillId="9" borderId="21" xfId="0" applyFont="1" applyFill="1" applyBorder="1" applyAlignment="1">
      <alignment horizontal="center" vertical="center" wrapText="1"/>
    </xf>
    <xf numFmtId="0" fontId="2" fillId="9" borderId="22" xfId="0" applyFont="1" applyFill="1" applyBorder="1" applyAlignment="1">
      <alignment horizontal="center" vertical="center"/>
    </xf>
    <xf numFmtId="44" fontId="2" fillId="9" borderId="22" xfId="1" applyFont="1" applyFill="1" applyBorder="1" applyAlignment="1">
      <alignment horizontal="center" vertical="center"/>
    </xf>
    <xf numFmtId="0" fontId="2" fillId="9" borderId="22" xfId="0" applyFont="1" applyFill="1" applyBorder="1" applyAlignment="1">
      <alignment horizontal="center" vertical="center" wrapText="1"/>
    </xf>
    <xf numFmtId="44" fontId="0" fillId="9" borderId="24" xfId="1" applyFont="1" applyFill="1" applyBorder="1" applyAlignment="1">
      <alignment vertical="center"/>
    </xf>
    <xf numFmtId="0" fontId="0" fillId="9" borderId="1" xfId="0" applyFill="1" applyBorder="1" applyAlignment="1">
      <alignment horizontal="center" vertical="center"/>
    </xf>
    <xf numFmtId="44" fontId="0" fillId="9" borderId="1" xfId="1" applyFont="1" applyFill="1" applyBorder="1"/>
    <xf numFmtId="44" fontId="0" fillId="9" borderId="1" xfId="0" applyNumberFormat="1" applyFill="1" applyBorder="1"/>
    <xf numFmtId="164" fontId="0" fillId="9" borderId="1" xfId="0" applyNumberFormat="1" applyFill="1" applyBorder="1"/>
    <xf numFmtId="44" fontId="0" fillId="9" borderId="1" xfId="1" applyFont="1" applyFill="1" applyBorder="1" applyAlignment="1">
      <alignment vertical="center"/>
    </xf>
    <xf numFmtId="0" fontId="0" fillId="9" borderId="1" xfId="0" applyFill="1" applyBorder="1"/>
    <xf numFmtId="44" fontId="0" fillId="9" borderId="1" xfId="0" applyNumberFormat="1" applyFill="1" applyBorder="1" applyAlignment="1">
      <alignment vertical="center"/>
    </xf>
    <xf numFmtId="0" fontId="0" fillId="9" borderId="1" xfId="0" applyFill="1" applyBorder="1" applyAlignment="1">
      <alignment vertical="center"/>
    </xf>
    <xf numFmtId="0" fontId="0" fillId="9" borderId="27" xfId="0" applyFill="1" applyBorder="1" applyAlignment="1">
      <alignment horizontal="center" vertical="center"/>
    </xf>
    <xf numFmtId="44" fontId="0" fillId="9" borderId="27" xfId="1" applyFont="1" applyFill="1" applyBorder="1" applyAlignment="1">
      <alignment vertical="center"/>
    </xf>
    <xf numFmtId="0" fontId="0" fillId="9" borderId="27" xfId="0" applyFill="1" applyBorder="1"/>
    <xf numFmtId="44" fontId="0" fillId="9" borderId="27" xfId="0" applyNumberFormat="1" applyFill="1" applyBorder="1" applyAlignment="1">
      <alignment vertical="center"/>
    </xf>
    <xf numFmtId="164" fontId="0" fillId="9" borderId="27" xfId="0" applyNumberFormat="1" applyFill="1" applyBorder="1" applyAlignment="1">
      <alignment vertical="center"/>
    </xf>
    <xf numFmtId="44" fontId="0" fillId="9" borderId="27" xfId="0" applyNumberFormat="1" applyFill="1" applyBorder="1" applyAlignment="1">
      <alignment horizontal="center" vertical="center"/>
    </xf>
    <xf numFmtId="0" fontId="2" fillId="10" borderId="21" xfId="0" applyFont="1" applyFill="1" applyBorder="1" applyAlignment="1">
      <alignment horizontal="center" vertical="center" wrapText="1"/>
    </xf>
    <xf numFmtId="0" fontId="2" fillId="10" borderId="22" xfId="0" applyFont="1" applyFill="1" applyBorder="1" applyAlignment="1">
      <alignment horizontal="center" vertical="center"/>
    </xf>
    <xf numFmtId="0" fontId="2" fillId="10" borderId="22" xfId="0" applyFont="1" applyFill="1" applyBorder="1" applyAlignment="1">
      <alignment horizontal="center" vertical="center" wrapText="1"/>
    </xf>
    <xf numFmtId="164" fontId="0" fillId="10" borderId="24" xfId="0" applyNumberFormat="1" applyFill="1" applyBorder="1" applyAlignment="1">
      <alignment vertical="center"/>
    </xf>
    <xf numFmtId="0" fontId="0" fillId="10" borderId="1" xfId="0" applyFill="1" applyBorder="1" applyAlignment="1">
      <alignment horizontal="center" vertical="center"/>
    </xf>
    <xf numFmtId="0" fontId="0" fillId="10" borderId="27" xfId="0" applyFill="1" applyBorder="1" applyAlignment="1">
      <alignment horizontal="center" vertical="center"/>
    </xf>
    <xf numFmtId="164" fontId="0" fillId="10" borderId="27" xfId="0" applyNumberFormat="1" applyFill="1" applyBorder="1" applyAlignment="1">
      <alignment vertical="center"/>
    </xf>
    <xf numFmtId="0" fontId="12" fillId="12" borderId="1" xfId="0" applyFont="1" applyFill="1" applyBorder="1" applyAlignment="1">
      <alignment horizontal="center" vertical="center"/>
    </xf>
    <xf numFmtId="1" fontId="12" fillId="12" borderId="1" xfId="0" applyNumberFormat="1" applyFont="1" applyFill="1" applyBorder="1" applyAlignment="1">
      <alignment horizontal="center" vertical="center"/>
    </xf>
    <xf numFmtId="0" fontId="2" fillId="0" borderId="1" xfId="0" applyFont="1" applyBorder="1" applyAlignment="1">
      <alignment horizontal="center"/>
    </xf>
    <xf numFmtId="14" fontId="0" fillId="5" borderId="1" xfId="0" applyNumberFormat="1" applyFill="1" applyBorder="1"/>
    <xf numFmtId="14" fontId="0" fillId="5" borderId="1" xfId="0" applyNumberFormat="1" applyFill="1" applyBorder="1" applyAlignment="1">
      <alignment horizontal="right"/>
    </xf>
    <xf numFmtId="165" fontId="0" fillId="0" borderId="1" xfId="2" applyNumberFormat="1" applyFont="1" applyBorder="1"/>
    <xf numFmtId="0" fontId="13" fillId="0" borderId="1" xfId="0" applyFont="1" applyBorder="1" applyAlignment="1">
      <alignment horizontal="left" vertical="center"/>
    </xf>
    <xf numFmtId="164" fontId="14" fillId="0" borderId="1" xfId="1" applyNumberFormat="1" applyFont="1" applyFill="1" applyBorder="1" applyAlignment="1">
      <alignment horizontal="right" vertical="center"/>
    </xf>
    <xf numFmtId="0" fontId="15" fillId="0" borderId="1" xfId="0" applyFont="1" applyBorder="1" applyAlignment="1">
      <alignment horizontal="left" vertical="center" indent="1"/>
    </xf>
    <xf numFmtId="164" fontId="15" fillId="0" borderId="1" xfId="4" applyNumberFormat="1" applyFont="1" applyFill="1" applyBorder="1" applyAlignment="1">
      <alignment horizontal="right" indent="2"/>
    </xf>
    <xf numFmtId="166" fontId="14" fillId="0" borderId="1" xfId="3" applyNumberFormat="1" applyFont="1" applyFill="1" applyBorder="1" applyAlignment="1">
      <alignment horizontal="right" vertical="center"/>
    </xf>
    <xf numFmtId="44" fontId="14" fillId="0" borderId="1" xfId="1" applyFont="1" applyFill="1" applyBorder="1" applyAlignment="1">
      <alignment horizontal="right" vertical="center"/>
    </xf>
    <xf numFmtId="167" fontId="16" fillId="12" borderId="1" xfId="0" applyNumberFormat="1" applyFont="1" applyFill="1" applyBorder="1" applyAlignment="1">
      <alignment horizontal="center" vertical="center"/>
    </xf>
    <xf numFmtId="168" fontId="9" fillId="0" borderId="1" xfId="0" applyNumberFormat="1" applyFont="1" applyBorder="1"/>
    <xf numFmtId="167" fontId="15" fillId="0" borderId="1" xfId="4" applyNumberFormat="1" applyFont="1" applyFill="1" applyBorder="1" applyAlignment="1">
      <alignment horizontal="right" indent="2"/>
    </xf>
    <xf numFmtId="169" fontId="14" fillId="0" borderId="1" xfId="3" applyNumberFormat="1" applyFont="1" applyFill="1" applyBorder="1" applyAlignment="1">
      <alignment horizontal="right" vertical="center"/>
    </xf>
    <xf numFmtId="0" fontId="0" fillId="13" borderId="0" xfId="0" applyFill="1" applyAlignment="1">
      <alignment horizontal="center" vertical="center"/>
    </xf>
    <xf numFmtId="0" fontId="0" fillId="13" borderId="24" xfId="0" applyFill="1" applyBorder="1" applyAlignment="1">
      <alignment horizontal="center" vertical="center"/>
    </xf>
    <xf numFmtId="0" fontId="0" fillId="13" borderId="44" xfId="0" applyFill="1" applyBorder="1"/>
    <xf numFmtId="0" fontId="0" fillId="13" borderId="67" xfId="0" applyFill="1" applyBorder="1"/>
    <xf numFmtId="44" fontId="0" fillId="13" borderId="24" xfId="1" applyFont="1" applyFill="1" applyBorder="1" applyAlignment="1">
      <alignment vertical="center"/>
    </xf>
    <xf numFmtId="0" fontId="0" fillId="13" borderId="1" xfId="0" applyFill="1" applyBorder="1" applyAlignment="1">
      <alignment horizontal="center" vertical="center"/>
    </xf>
    <xf numFmtId="44" fontId="0" fillId="13" borderId="1" xfId="1" applyFont="1" applyFill="1" applyBorder="1"/>
    <xf numFmtId="0" fontId="0" fillId="13" borderId="1" xfId="0" applyFill="1" applyBorder="1"/>
    <xf numFmtId="44" fontId="0" fillId="13" borderId="1" xfId="0" applyNumberFormat="1" applyFill="1" applyBorder="1"/>
    <xf numFmtId="164" fontId="0" fillId="13" borderId="1" xfId="0" applyNumberFormat="1" applyFill="1" applyBorder="1"/>
    <xf numFmtId="164" fontId="0" fillId="13" borderId="1" xfId="0" applyNumberFormat="1" applyFill="1" applyBorder="1" applyAlignment="1">
      <alignment vertical="center"/>
    </xf>
    <xf numFmtId="164" fontId="0" fillId="13" borderId="6" xfId="0" applyNumberFormat="1" applyFill="1" applyBorder="1" applyAlignment="1">
      <alignment vertical="center"/>
    </xf>
    <xf numFmtId="164" fontId="0" fillId="13" borderId="24" xfId="0" applyNumberFormat="1" applyFill="1" applyBorder="1" applyAlignment="1">
      <alignment vertical="center"/>
    </xf>
    <xf numFmtId="164" fontId="0" fillId="13" borderId="25" xfId="0" applyNumberFormat="1" applyFill="1" applyBorder="1" applyAlignment="1">
      <alignment vertical="center"/>
    </xf>
    <xf numFmtId="1" fontId="0" fillId="13" borderId="15" xfId="0" applyNumberFormat="1" applyFill="1" applyBorder="1" applyAlignment="1">
      <alignment horizontal="center" vertical="center"/>
    </xf>
    <xf numFmtId="0" fontId="0" fillId="13" borderId="25" xfId="0" applyFill="1" applyBorder="1"/>
    <xf numFmtId="0" fontId="0" fillId="13" borderId="0" xfId="0" applyFill="1"/>
    <xf numFmtId="0" fontId="0" fillId="13" borderId="39" xfId="0" applyFill="1" applyBorder="1" applyAlignment="1">
      <alignment vertical="center"/>
    </xf>
    <xf numFmtId="0" fontId="0" fillId="13" borderId="3" xfId="0" applyFill="1" applyBorder="1" applyAlignment="1">
      <alignment horizontal="center" vertical="center"/>
    </xf>
    <xf numFmtId="44" fontId="0" fillId="13" borderId="3" xfId="1" applyFont="1" applyFill="1" applyBorder="1" applyAlignment="1">
      <alignment vertical="center"/>
    </xf>
    <xf numFmtId="0" fontId="0" fillId="5" borderId="67" xfId="0" applyFill="1" applyBorder="1"/>
    <xf numFmtId="0" fontId="2" fillId="0" borderId="0" xfId="0" applyFont="1"/>
    <xf numFmtId="170" fontId="15" fillId="0" borderId="1" xfId="4" applyNumberFormat="1" applyFont="1" applyFill="1" applyBorder="1" applyAlignment="1">
      <alignment horizontal="right" indent="2"/>
    </xf>
    <xf numFmtId="170" fontId="0" fillId="0" borderId="0" xfId="1" applyNumberFormat="1" applyFont="1"/>
    <xf numFmtId="0" fontId="22" fillId="0" borderId="1" xfId="0" applyFont="1" applyBorder="1" applyAlignment="1">
      <alignment horizontal="center" vertical="top" wrapText="1"/>
    </xf>
    <xf numFmtId="0" fontId="17" fillId="0" borderId="68" xfId="0" applyFont="1" applyBorder="1" applyAlignment="1">
      <alignment horizontal="center" vertical="top" wrapText="1"/>
    </xf>
    <xf numFmtId="0" fontId="17" fillId="0" borderId="69" xfId="0" applyFont="1" applyBorder="1" applyAlignment="1">
      <alignment horizontal="center" vertical="top" wrapText="1"/>
    </xf>
    <xf numFmtId="0" fontId="17" fillId="0" borderId="70" xfId="0" applyFont="1" applyBorder="1" applyAlignment="1">
      <alignment horizontal="center" vertical="top" wrapText="1"/>
    </xf>
    <xf numFmtId="0" fontId="17" fillId="0" borderId="8" xfId="0" applyFont="1" applyBorder="1" applyAlignment="1">
      <alignment horizontal="center" vertical="top" wrapText="1"/>
    </xf>
    <xf numFmtId="0" fontId="17" fillId="0" borderId="14" xfId="0" applyFont="1" applyBorder="1" applyAlignment="1">
      <alignment horizontal="center" vertical="top" wrapText="1"/>
    </xf>
    <xf numFmtId="0" fontId="17" fillId="0" borderId="7" xfId="0" applyFont="1" applyBorder="1" applyAlignment="1">
      <alignment horizontal="center" vertical="top" wrapText="1"/>
    </xf>
    <xf numFmtId="0" fontId="2" fillId="0" borderId="6" xfId="0" applyFont="1" applyBorder="1" applyAlignment="1">
      <alignment horizontal="center"/>
    </xf>
    <xf numFmtId="0" fontId="2" fillId="0" borderId="15" xfId="0" applyFont="1" applyBorder="1" applyAlignment="1">
      <alignment horizontal="center"/>
    </xf>
    <xf numFmtId="0" fontId="10" fillId="11" borderId="6" xfId="0" applyFont="1" applyFill="1" applyBorder="1" applyAlignment="1">
      <alignment horizontal="center" vertical="center"/>
    </xf>
    <xf numFmtId="0" fontId="10" fillId="11" borderId="15" xfId="0" applyFont="1" applyFill="1" applyBorder="1" applyAlignment="1">
      <alignment horizontal="center" vertical="center"/>
    </xf>
    <xf numFmtId="0" fontId="11" fillId="11" borderId="6" xfId="0" applyFont="1" applyFill="1" applyBorder="1" applyAlignment="1">
      <alignment horizontal="center" vertical="center" wrapText="1"/>
    </xf>
    <xf numFmtId="0" fontId="11" fillId="11" borderId="15" xfId="0" applyFont="1" applyFill="1" applyBorder="1" applyAlignment="1">
      <alignment horizontal="center" vertical="center" wrapText="1"/>
    </xf>
    <xf numFmtId="0" fontId="12" fillId="12" borderId="6" xfId="0" applyFont="1" applyFill="1" applyBorder="1" applyAlignment="1">
      <alignment horizontal="center" vertical="center"/>
    </xf>
    <xf numFmtId="0" fontId="12" fillId="12" borderId="15" xfId="0" applyFont="1" applyFill="1" applyBorder="1" applyAlignment="1">
      <alignment horizontal="center" vertical="center"/>
    </xf>
    <xf numFmtId="0" fontId="0" fillId="0" borderId="25" xfId="0" applyBorder="1" applyAlignment="1">
      <alignment horizontal="left" vertical="center" wrapText="1"/>
    </xf>
    <xf numFmtId="0" fontId="0" fillId="0" borderId="46" xfId="0" applyBorder="1" applyAlignment="1">
      <alignment horizontal="left" vertical="center"/>
    </xf>
    <xf numFmtId="0" fontId="0" fillId="0" borderId="45" xfId="0" applyBorder="1" applyAlignment="1">
      <alignment horizontal="left" vertical="center"/>
    </xf>
    <xf numFmtId="0" fontId="0" fillId="0" borderId="66" xfId="0" applyBorder="1" applyAlignment="1">
      <alignment vertical="center"/>
    </xf>
    <xf numFmtId="0" fontId="0" fillId="0" borderId="55" xfId="0" applyBorder="1" applyAlignment="1">
      <alignment vertical="center"/>
    </xf>
    <xf numFmtId="0" fontId="0" fillId="9" borderId="1" xfId="0" applyFill="1" applyBorder="1" applyAlignment="1">
      <alignment horizontal="center" vertical="center"/>
    </xf>
    <xf numFmtId="164" fontId="0" fillId="9" borderId="1" xfId="0" applyNumberFormat="1" applyFill="1" applyBorder="1" applyAlignment="1">
      <alignment horizontal="center" vertical="center"/>
    </xf>
    <xf numFmtId="0" fontId="0" fillId="0" borderId="47" xfId="0" applyBorder="1" applyAlignment="1">
      <alignment horizontal="left" vertical="center"/>
    </xf>
    <xf numFmtId="164" fontId="0" fillId="9" borderId="6" xfId="0" applyNumberFormat="1" applyFill="1" applyBorder="1" applyAlignment="1">
      <alignment horizontal="center" vertical="center"/>
    </xf>
    <xf numFmtId="44" fontId="0" fillId="0" borderId="29" xfId="1" applyFont="1" applyBorder="1" applyAlignment="1">
      <alignment horizontal="center" vertical="center" wrapText="1"/>
    </xf>
    <xf numFmtId="44" fontId="0" fillId="0" borderId="4" xfId="1" applyFont="1" applyBorder="1" applyAlignment="1">
      <alignment horizontal="center" vertical="center" wrapText="1"/>
    </xf>
    <xf numFmtId="44" fontId="0" fillId="0" borderId="3" xfId="1" applyFont="1" applyBorder="1" applyAlignment="1">
      <alignment horizontal="center" vertical="center" wrapText="1"/>
    </xf>
    <xf numFmtId="0" fontId="6" fillId="0" borderId="52" xfId="0" applyFont="1" applyBorder="1" applyAlignment="1">
      <alignment horizontal="justify" vertical="justify" wrapText="1"/>
    </xf>
    <xf numFmtId="0" fontId="6" fillId="0" borderId="53" xfId="0" applyFont="1" applyBorder="1" applyAlignment="1">
      <alignment horizontal="justify" vertical="justify" wrapText="1"/>
    </xf>
    <xf numFmtId="0" fontId="6" fillId="0" borderId="54" xfId="0" applyFont="1" applyBorder="1" applyAlignment="1">
      <alignment horizontal="justify" vertical="justify" wrapText="1"/>
    </xf>
    <xf numFmtId="0" fontId="6" fillId="0" borderId="31" xfId="0" applyFont="1" applyBorder="1" applyAlignment="1">
      <alignment horizontal="justify" vertical="justify" wrapText="1"/>
    </xf>
    <xf numFmtId="0" fontId="6" fillId="0" borderId="0" xfId="0" applyFont="1" applyAlignment="1">
      <alignment horizontal="justify" vertical="justify" wrapText="1"/>
    </xf>
    <xf numFmtId="0" fontId="6" fillId="0" borderId="41" xfId="0" applyFont="1" applyBorder="1" applyAlignment="1">
      <alignment horizontal="justify" vertical="justify" wrapText="1"/>
    </xf>
    <xf numFmtId="0" fontId="6" fillId="0" borderId="55" xfId="0" applyFont="1" applyBorder="1" applyAlignment="1">
      <alignment horizontal="justify" vertical="justify" wrapText="1"/>
    </xf>
    <xf numFmtId="0" fontId="6" fillId="0" borderId="56" xfId="0" applyFont="1" applyBorder="1" applyAlignment="1">
      <alignment horizontal="justify" vertical="justify" wrapText="1"/>
    </xf>
    <xf numFmtId="0" fontId="6" fillId="0" borderId="45" xfId="0" applyFont="1" applyBorder="1" applyAlignment="1">
      <alignment horizontal="justify" vertical="justify" wrapText="1"/>
    </xf>
    <xf numFmtId="0" fontId="0" fillId="0" borderId="57" xfId="0" applyBorder="1" applyAlignment="1">
      <alignment horizontal="justify" vertical="justify" wrapText="1"/>
    </xf>
    <xf numFmtId="0" fontId="0" fillId="0" borderId="58" xfId="0" applyBorder="1" applyAlignment="1">
      <alignment horizontal="justify" vertical="justify" wrapText="1"/>
    </xf>
    <xf numFmtId="0" fontId="0" fillId="0" borderId="59" xfId="0" applyBorder="1" applyAlignment="1">
      <alignment horizontal="justify" vertical="justify" wrapText="1"/>
    </xf>
    <xf numFmtId="44" fontId="0" fillId="0" borderId="60" xfId="0" applyNumberFormat="1" applyBorder="1" applyAlignment="1">
      <alignment horizontal="center" vertical="center"/>
    </xf>
    <xf numFmtId="44" fontId="0" fillId="0" borderId="61" xfId="0" applyNumberFormat="1" applyBorder="1" applyAlignment="1">
      <alignment horizontal="center" vertical="center"/>
    </xf>
    <xf numFmtId="44" fontId="0" fillId="0" borderId="49" xfId="0" applyNumberFormat="1" applyBorder="1" applyAlignment="1">
      <alignment horizontal="center" vertical="center"/>
    </xf>
    <xf numFmtId="164" fontId="0" fillId="10" borderId="25" xfId="0" applyNumberFormat="1" applyFill="1" applyBorder="1" applyAlignment="1">
      <alignment horizontal="center" vertical="center"/>
    </xf>
    <xf numFmtId="164" fontId="0" fillId="10" borderId="28" xfId="0" applyNumberFormat="1" applyFill="1" applyBorder="1" applyAlignment="1">
      <alignment horizontal="center" vertical="center"/>
    </xf>
    <xf numFmtId="0" fontId="7" fillId="0" borderId="52" xfId="0" applyFont="1" applyBorder="1" applyAlignment="1">
      <alignment horizontal="justify" vertical="justify" wrapText="1"/>
    </xf>
    <xf numFmtId="0" fontId="7" fillId="0" borderId="53" xfId="0" applyFont="1" applyBorder="1" applyAlignment="1">
      <alignment horizontal="justify" vertical="justify" wrapText="1"/>
    </xf>
    <xf numFmtId="0" fontId="7" fillId="0" borderId="54" xfId="0" applyFont="1" applyBorder="1" applyAlignment="1">
      <alignment horizontal="justify" vertical="justify" wrapText="1"/>
    </xf>
    <xf numFmtId="0" fontId="7" fillId="0" borderId="50" xfId="0" applyFont="1" applyBorder="1" applyAlignment="1">
      <alignment horizontal="justify" vertical="justify" wrapText="1"/>
    </xf>
    <xf numFmtId="0" fontId="7" fillId="0" borderId="32" xfId="0" applyFont="1" applyBorder="1" applyAlignment="1">
      <alignment horizontal="justify" vertical="justify" wrapText="1"/>
    </xf>
    <xf numFmtId="0" fontId="7" fillId="0" borderId="47" xfId="0" applyFont="1" applyBorder="1" applyAlignment="1">
      <alignment horizontal="justify" vertical="justify" wrapText="1"/>
    </xf>
    <xf numFmtId="164" fontId="0" fillId="9" borderId="37" xfId="0" applyNumberFormat="1" applyFill="1" applyBorder="1" applyAlignment="1">
      <alignment horizontal="center" vertical="center"/>
    </xf>
    <xf numFmtId="0" fontId="0" fillId="0" borderId="24" xfId="0" applyBorder="1" applyAlignment="1">
      <alignment horizontal="center" vertical="center"/>
    </xf>
    <xf numFmtId="0" fontId="0" fillId="0" borderId="26" xfId="0" applyBorder="1" applyAlignment="1">
      <alignment horizontal="center" vertical="center"/>
    </xf>
    <xf numFmtId="0" fontId="3" fillId="0" borderId="33" xfId="0" applyFont="1" applyBorder="1" applyAlignment="1">
      <alignment horizontal="left" vertical="top" wrapText="1"/>
    </xf>
    <xf numFmtId="0" fontId="3" fillId="0" borderId="34" xfId="0" applyFont="1" applyBorder="1" applyAlignment="1">
      <alignment horizontal="left" vertical="top" wrapText="1"/>
    </xf>
    <xf numFmtId="0" fontId="3" fillId="0" borderId="35" xfId="0" applyFont="1" applyBorder="1" applyAlignment="1">
      <alignment horizontal="left" vertical="top" wrapText="1"/>
    </xf>
    <xf numFmtId="164" fontId="0" fillId="10" borderId="1" xfId="0" applyNumberFormat="1" applyFill="1" applyBorder="1" applyAlignment="1">
      <alignment horizontal="center" vertical="center"/>
    </xf>
    <xf numFmtId="0" fontId="0" fillId="0" borderId="39" xfId="0" applyBorder="1" applyAlignment="1">
      <alignment horizontal="center" vertical="center"/>
    </xf>
    <xf numFmtId="44" fontId="0" fillId="0" borderId="40" xfId="0" applyNumberFormat="1" applyBorder="1" applyAlignment="1">
      <alignment horizontal="center" vertical="center"/>
    </xf>
    <xf numFmtId="0" fontId="0" fillId="0" borderId="25" xfId="0" applyBorder="1" applyAlignment="1">
      <alignment horizontal="center" vertical="center"/>
    </xf>
    <xf numFmtId="0" fontId="0" fillId="0" borderId="28"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44" fontId="0" fillId="0" borderId="2" xfId="1" applyFont="1" applyBorder="1" applyAlignment="1">
      <alignment horizontal="left" vertical="center"/>
    </xf>
    <xf numFmtId="44" fontId="0" fillId="0" borderId="3" xfId="1" applyFont="1" applyBorder="1" applyAlignment="1">
      <alignment horizontal="left" vertical="center"/>
    </xf>
    <xf numFmtId="0" fontId="2" fillId="8" borderId="33" xfId="0" applyFont="1" applyFill="1" applyBorder="1" applyAlignment="1">
      <alignment horizontal="center"/>
    </xf>
    <xf numFmtId="0" fontId="2" fillId="8" borderId="34" xfId="0" applyFont="1" applyFill="1" applyBorder="1" applyAlignment="1">
      <alignment horizontal="center"/>
    </xf>
    <xf numFmtId="0" fontId="2" fillId="8" borderId="53" xfId="0" applyFont="1" applyFill="1" applyBorder="1" applyAlignment="1">
      <alignment horizontal="center"/>
    </xf>
    <xf numFmtId="0" fontId="2" fillId="8" borderId="35" xfId="0" applyFont="1" applyFill="1" applyBorder="1" applyAlignment="1">
      <alignment horizontal="center"/>
    </xf>
    <xf numFmtId="0" fontId="0" fillId="0" borderId="44" xfId="0" applyBorder="1" applyAlignment="1">
      <alignment horizontal="left" vertical="center"/>
    </xf>
    <xf numFmtId="164" fontId="0" fillId="10" borderId="65" xfId="0" applyNumberFormat="1" applyFill="1" applyBorder="1" applyAlignment="1">
      <alignment horizontal="center" vertical="center"/>
    </xf>
    <xf numFmtId="164" fontId="0" fillId="10" borderId="39" xfId="0" applyNumberFormat="1" applyFill="1" applyBorder="1" applyAlignment="1">
      <alignment horizontal="center" vertical="center"/>
    </xf>
    <xf numFmtId="164" fontId="0" fillId="10" borderId="48" xfId="0" applyNumberFormat="1" applyFill="1" applyBorder="1" applyAlignment="1">
      <alignment horizontal="center" vertical="center"/>
    </xf>
    <xf numFmtId="44" fontId="0" fillId="9" borderId="24" xfId="1" applyFont="1" applyFill="1" applyBorder="1" applyAlignment="1">
      <alignment horizontal="center" vertical="center"/>
    </xf>
    <xf numFmtId="44" fontId="0" fillId="9" borderId="26" xfId="1" applyFont="1" applyFill="1" applyBorder="1" applyAlignment="1">
      <alignment horizontal="center" vertical="center"/>
    </xf>
    <xf numFmtId="0" fontId="0" fillId="10" borderId="1" xfId="0" applyFill="1" applyBorder="1" applyAlignment="1">
      <alignment horizontal="center" vertical="center"/>
    </xf>
    <xf numFmtId="0" fontId="17" fillId="0" borderId="1" xfId="0" applyFont="1" applyBorder="1" applyAlignment="1">
      <alignment horizontal="center" vertical="top" wrapText="1"/>
    </xf>
    <xf numFmtId="44" fontId="0" fillId="0" borderId="5" xfId="0" applyNumberFormat="1" applyBorder="1" applyAlignment="1">
      <alignment horizontal="center" vertical="center"/>
    </xf>
    <xf numFmtId="44" fontId="0" fillId="0" borderId="0" xfId="0" applyNumberFormat="1" applyAlignment="1">
      <alignment horizontal="center" vertical="center"/>
    </xf>
    <xf numFmtId="164" fontId="0" fillId="0" borderId="5" xfId="0" applyNumberFormat="1" applyBorder="1" applyAlignment="1">
      <alignment horizontal="center" vertical="center"/>
    </xf>
    <xf numFmtId="164" fontId="0" fillId="0" borderId="0" xfId="0" applyNumberFormat="1" applyAlignment="1">
      <alignment horizontal="center" vertical="center"/>
    </xf>
    <xf numFmtId="1" fontId="0" fillId="0" borderId="5" xfId="0" applyNumberFormat="1" applyBorder="1" applyAlignment="1">
      <alignment horizontal="center" vertical="center" wrapText="1"/>
    </xf>
    <xf numFmtId="1" fontId="0" fillId="0" borderId="0" xfId="0" applyNumberFormat="1" applyAlignment="1">
      <alignment horizontal="center" vertical="center" wrapText="1"/>
    </xf>
    <xf numFmtId="0" fontId="0" fillId="0" borderId="17" xfId="0" applyBorder="1" applyAlignment="1">
      <alignment horizontal="left" vertical="center"/>
    </xf>
    <xf numFmtId="0" fontId="0" fillId="0" borderId="18" xfId="0" applyBorder="1" applyAlignment="1">
      <alignment horizontal="center" vertical="center"/>
    </xf>
    <xf numFmtId="0" fontId="0" fillId="0" borderId="16" xfId="0" applyBorder="1" applyAlignment="1">
      <alignment horizontal="center" vertical="center"/>
    </xf>
    <xf numFmtId="164" fontId="0" fillId="0" borderId="6" xfId="0" applyNumberFormat="1" applyBorder="1" applyAlignment="1">
      <alignment horizontal="center" vertical="center"/>
    </xf>
    <xf numFmtId="0" fontId="0" fillId="0" borderId="6" xfId="0" applyBorder="1" applyAlignment="1">
      <alignment horizontal="center" vertical="center"/>
    </xf>
    <xf numFmtId="0" fontId="0" fillId="0" borderId="1" xfId="0" applyBorder="1" applyAlignment="1">
      <alignment horizontal="left" vertical="center" wrapText="1"/>
    </xf>
    <xf numFmtId="0" fontId="0" fillId="0" borderId="18" xfId="0" applyBorder="1" applyAlignment="1">
      <alignment horizontal="left" vertical="center"/>
    </xf>
    <xf numFmtId="0" fontId="0" fillId="0" borderId="16" xfId="0" applyBorder="1" applyAlignment="1">
      <alignment horizontal="left" vertical="center"/>
    </xf>
    <xf numFmtId="164" fontId="0" fillId="0" borderId="7" xfId="0" applyNumberFormat="1" applyBorder="1" applyAlignment="1">
      <alignment horizontal="center" vertical="center"/>
    </xf>
    <xf numFmtId="164" fontId="0" fillId="0" borderId="8" xfId="0" applyNumberFormat="1" applyBorder="1" applyAlignment="1">
      <alignment horizontal="center" vertical="center"/>
    </xf>
    <xf numFmtId="0" fontId="2" fillId="5" borderId="23" xfId="0" applyFont="1" applyFill="1" applyBorder="1" applyAlignment="1">
      <alignment horizontal="center" vertical="center" wrapText="1"/>
    </xf>
    <xf numFmtId="0" fontId="2" fillId="0" borderId="31"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61" xfId="0" applyFont="1" applyBorder="1" applyAlignment="1">
      <alignment horizontal="center" vertical="center" wrapText="1"/>
    </xf>
    <xf numFmtId="0" fontId="2" fillId="8" borderId="33" xfId="0" applyFont="1" applyFill="1" applyBorder="1" applyAlignment="1">
      <alignment horizontal="center" vertical="center" wrapText="1"/>
    </xf>
    <xf numFmtId="0" fontId="2" fillId="8" borderId="34" xfId="0" applyFont="1" applyFill="1" applyBorder="1" applyAlignment="1">
      <alignment horizontal="center" vertical="center" wrapText="1"/>
    </xf>
    <xf numFmtId="0" fontId="2" fillId="8" borderId="53" xfId="0" applyFont="1" applyFill="1" applyBorder="1" applyAlignment="1">
      <alignment horizontal="center" vertical="center" wrapText="1"/>
    </xf>
    <xf numFmtId="0" fontId="2" fillId="8" borderId="35" xfId="0" applyFont="1" applyFill="1" applyBorder="1" applyAlignment="1">
      <alignment horizontal="center" vertical="center" wrapText="1"/>
    </xf>
    <xf numFmtId="0" fontId="0" fillId="0" borderId="21" xfId="0" applyBorder="1" applyAlignment="1">
      <alignment horizontal="center" vertical="center" wrapText="1"/>
    </xf>
    <xf numFmtId="1" fontId="0" fillId="0" borderId="63" xfId="0" applyNumberFormat="1" applyBorder="1" applyAlignment="1">
      <alignment horizontal="center" vertical="center" wrapText="1"/>
    </xf>
    <xf numFmtId="0" fontId="0" fillId="0" borderId="24" xfId="0" applyBorder="1" applyAlignment="1">
      <alignment horizontal="center" vertical="center" wrapText="1"/>
    </xf>
    <xf numFmtId="164" fontId="0" fillId="5" borderId="25" xfId="0" applyNumberFormat="1" applyFill="1" applyBorder="1" applyAlignment="1">
      <alignment horizontal="center" vertical="center" wrapText="1"/>
    </xf>
    <xf numFmtId="1" fontId="0" fillId="0" borderId="15" xfId="0" applyNumberFormat="1" applyBorder="1" applyAlignment="1">
      <alignment horizontal="center" vertical="center" wrapText="1"/>
    </xf>
    <xf numFmtId="0" fontId="0" fillId="0" borderId="24" xfId="0" applyBorder="1" applyAlignment="1">
      <alignment horizontal="center" vertical="center" wrapText="1"/>
    </xf>
    <xf numFmtId="1" fontId="0" fillId="5" borderId="15" xfId="0" applyNumberFormat="1" applyFill="1" applyBorder="1" applyAlignment="1">
      <alignment horizontal="center" vertical="center" wrapText="1"/>
    </xf>
    <xf numFmtId="0" fontId="0" fillId="0" borderId="26" xfId="0" applyBorder="1" applyAlignment="1">
      <alignment horizontal="center" vertical="center" wrapText="1"/>
    </xf>
    <xf numFmtId="164" fontId="0" fillId="5" borderId="28" xfId="0" applyNumberFormat="1" applyFill="1" applyBorder="1" applyAlignment="1">
      <alignment horizontal="center" vertical="center" wrapText="1"/>
    </xf>
    <xf numFmtId="0" fontId="0" fillId="5" borderId="0" xfId="0" applyFill="1" applyAlignment="1">
      <alignment horizontal="center" vertical="center" wrapText="1"/>
    </xf>
    <xf numFmtId="0" fontId="0" fillId="0" borderId="62" xfId="0" applyBorder="1" applyAlignment="1">
      <alignment horizontal="center" vertical="center" wrapText="1"/>
    </xf>
    <xf numFmtId="0" fontId="0" fillId="0" borderId="43" xfId="0" applyBorder="1" applyAlignment="1">
      <alignment horizontal="center" vertical="center" wrapText="1"/>
    </xf>
    <xf numFmtId="0" fontId="0" fillId="0" borderId="51" xfId="0" applyBorder="1" applyAlignment="1">
      <alignment horizontal="center" vertical="center" wrapText="1"/>
    </xf>
    <xf numFmtId="164" fontId="0" fillId="5" borderId="25" xfId="0" applyNumberFormat="1" applyFill="1" applyBorder="1" applyAlignment="1">
      <alignment horizontal="center" vertical="center" wrapText="1"/>
    </xf>
    <xf numFmtId="0" fontId="0" fillId="0" borderId="23" xfId="0" applyBorder="1" applyAlignment="1">
      <alignment horizontal="center" vertical="center" wrapText="1"/>
    </xf>
    <xf numFmtId="0" fontId="0" fillId="0" borderId="44" xfId="0" applyBorder="1" applyAlignment="1">
      <alignment horizontal="center" vertical="center" wrapText="1"/>
    </xf>
    <xf numFmtId="0" fontId="0" fillId="0" borderId="18" xfId="0" applyBorder="1" applyAlignment="1">
      <alignment horizontal="center" vertical="center" wrapText="1"/>
    </xf>
    <xf numFmtId="0" fontId="0" fillId="0" borderId="25" xfId="0" applyBorder="1" applyAlignment="1">
      <alignment horizontal="center" vertical="center" wrapText="1"/>
    </xf>
    <xf numFmtId="0" fontId="0" fillId="0" borderId="16" xfId="0" applyBorder="1" applyAlignment="1">
      <alignment horizontal="center" vertical="center" wrapText="1"/>
    </xf>
    <xf numFmtId="0" fontId="0" fillId="5" borderId="45" xfId="0" applyFill="1" applyBorder="1" applyAlignment="1">
      <alignment horizontal="center" vertical="center" wrapText="1"/>
    </xf>
    <xf numFmtId="0" fontId="0" fillId="5" borderId="31" xfId="0" applyFill="1" applyBorder="1" applyAlignment="1">
      <alignment horizontal="center" vertical="center" wrapText="1"/>
    </xf>
    <xf numFmtId="0" fontId="0" fillId="0" borderId="25" xfId="0" applyBorder="1" applyAlignment="1">
      <alignment horizontal="center" vertical="center" wrapText="1"/>
    </xf>
    <xf numFmtId="0" fontId="0" fillId="0" borderId="46" xfId="0" applyBorder="1" applyAlignment="1">
      <alignment horizontal="center" vertical="center" wrapText="1"/>
    </xf>
    <xf numFmtId="0" fontId="0" fillId="0" borderId="66" xfId="0" applyBorder="1" applyAlignment="1">
      <alignment horizontal="center" vertical="center" wrapText="1"/>
    </xf>
    <xf numFmtId="0" fontId="0" fillId="0" borderId="45" xfId="0" applyBorder="1" applyAlignment="1">
      <alignment horizontal="center" vertical="center" wrapText="1"/>
    </xf>
    <xf numFmtId="0" fontId="0" fillId="0" borderId="55" xfId="0" applyBorder="1" applyAlignment="1">
      <alignment horizontal="center" vertical="center" wrapText="1"/>
    </xf>
    <xf numFmtId="0" fontId="0" fillId="0" borderId="44" xfId="0" applyBorder="1" applyAlignment="1">
      <alignment horizontal="center" vertical="center" wrapText="1"/>
    </xf>
    <xf numFmtId="0" fontId="0" fillId="0" borderId="67" xfId="0" applyBorder="1" applyAlignment="1">
      <alignment horizontal="center" vertical="center" wrapText="1"/>
    </xf>
    <xf numFmtId="0" fontId="0" fillId="0" borderId="47" xfId="0" applyBorder="1" applyAlignment="1">
      <alignment horizontal="center" vertical="center" wrapText="1"/>
    </xf>
    <xf numFmtId="0" fontId="0" fillId="0" borderId="57" xfId="0" applyBorder="1" applyAlignment="1">
      <alignment horizontal="center" vertical="center" wrapText="1"/>
    </xf>
    <xf numFmtId="0" fontId="0" fillId="0" borderId="28" xfId="0" applyBorder="1" applyAlignment="1">
      <alignment horizontal="center" vertical="center" wrapText="1"/>
    </xf>
    <xf numFmtId="164" fontId="0" fillId="5" borderId="0" xfId="0" applyNumberFormat="1" applyFill="1" applyAlignment="1">
      <alignment horizontal="center" vertical="center" wrapText="1"/>
    </xf>
    <xf numFmtId="0" fontId="2" fillId="0" borderId="0" xfId="0" applyFont="1" applyBorder="1" applyAlignment="1">
      <alignment horizontal="center" vertical="center" wrapText="1"/>
    </xf>
    <xf numFmtId="164" fontId="2" fillId="5" borderId="32" xfId="0" applyNumberFormat="1" applyFont="1" applyFill="1" applyBorder="1" applyAlignment="1">
      <alignment horizontal="center" vertical="center" wrapText="1"/>
    </xf>
    <xf numFmtId="0" fontId="0" fillId="0" borderId="32" xfId="0" applyBorder="1" applyAlignment="1">
      <alignment horizontal="center" vertical="center" wrapText="1"/>
    </xf>
    <xf numFmtId="0" fontId="0" fillId="0" borderId="47" xfId="0" applyBorder="1" applyAlignment="1">
      <alignment horizontal="center" vertical="center" wrapText="1"/>
    </xf>
    <xf numFmtId="0" fontId="2" fillId="0" borderId="33" xfId="0" applyFont="1" applyBorder="1" applyAlignment="1">
      <alignment horizontal="left" vertical="center" wrapText="1"/>
    </xf>
    <xf numFmtId="0" fontId="2" fillId="0" borderId="34" xfId="0" applyFont="1" applyBorder="1" applyAlignment="1">
      <alignment horizontal="left" vertical="center" wrapText="1"/>
    </xf>
  </cellXfs>
  <cellStyles count="5">
    <cellStyle name="Millares" xfId="2" builtinId="3"/>
    <cellStyle name="Millares [0]" xfId="3" builtinId="6"/>
    <cellStyle name="Moneda" xfId="1" builtinId="4"/>
    <cellStyle name="Moneda [0]" xfId="4"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Lorena Herrada" id="{0B49FF27-0EE2-464C-A1C0-1819108394C9}" userId="7b4afe3c867ffa35"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I18" dT="2026-01-30T17:51:23.81" personId="{0B49FF27-0EE2-464C-A1C0-1819108394C9}" id="{37ECDD1A-A5A6-495F-AA7E-809E4F2A6BFB}">
    <text>DESBORDAMIENTO</text>
  </threadedComment>
</ThreadedComments>
</file>

<file path=xl/threadedComments/threadedComment2.xml><?xml version="1.0" encoding="utf-8"?>
<ThreadedComments xmlns="http://schemas.microsoft.com/office/spreadsheetml/2018/threadedcomments" xmlns:x="http://schemas.openxmlformats.org/spreadsheetml/2006/main">
  <threadedComment ref="F18" dT="2026-01-30T17:51:23.81" personId="{0B49FF27-0EE2-464C-A1C0-1819108394C9}" id="{7CB32AF1-2CC5-44F7-B3A5-61B1A44281D7}">
    <text>DESBORDAMIENTO</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C107EF-B3C9-4513-BDA8-9B7A16DCEEF1}">
  <dimension ref="A2:AP60"/>
  <sheetViews>
    <sheetView zoomScale="65" zoomScaleNormal="100" workbookViewId="0">
      <selection sqref="A1:XFD1048576"/>
    </sheetView>
  </sheetViews>
  <sheetFormatPr baseColWidth="10" defaultColWidth="8.81640625" defaultRowHeight="14.5" x14ac:dyDescent="0.35"/>
  <cols>
    <col min="1" max="2" width="3.453125" customWidth="1"/>
    <col min="3" max="3" width="29.54296875" bestFit="1" customWidth="1"/>
    <col min="4" max="4" width="68.1796875" customWidth="1"/>
    <col min="5" max="5" width="15.81640625" bestFit="1" customWidth="1"/>
    <col min="6" max="6" width="10.1796875" bestFit="1" customWidth="1"/>
    <col min="7" max="7" width="26.453125" style="1" hidden="1" customWidth="1"/>
    <col min="8" max="8" width="27.54296875" hidden="1" customWidth="1"/>
    <col min="9" max="9" width="20" hidden="1" customWidth="1"/>
    <col min="10" max="21" width="18" hidden="1" customWidth="1"/>
    <col min="22" max="22" width="19" hidden="1" customWidth="1"/>
    <col min="23" max="23" width="16.453125" hidden="1" customWidth="1"/>
    <col min="24" max="24" width="22.453125" customWidth="1"/>
    <col min="25" max="29" width="18.453125" customWidth="1"/>
    <col min="30" max="30" width="22.7265625" bestFit="1" customWidth="1"/>
    <col min="31" max="31" width="26.26953125" bestFit="1" customWidth="1"/>
    <col min="32" max="32" width="12.81640625" customWidth="1"/>
    <col min="33" max="33" width="47.54296875" customWidth="1"/>
    <col min="34" max="34" width="5.54296875" customWidth="1"/>
    <col min="35" max="35" width="29.54296875" bestFit="1" customWidth="1"/>
    <col min="36" max="36" width="4.453125" bestFit="1" customWidth="1"/>
    <col min="37" max="37" width="43.453125" bestFit="1" customWidth="1"/>
    <col min="38" max="38" width="28.1796875" bestFit="1" customWidth="1"/>
    <col min="39" max="39" width="15.81640625" bestFit="1" customWidth="1"/>
    <col min="42" max="42" width="15.81640625" bestFit="1" customWidth="1"/>
  </cols>
  <sheetData>
    <row r="2" spans="1:39" ht="15" thickBot="1" x14ac:dyDescent="0.4"/>
    <row r="3" spans="1:39" ht="15" thickBot="1" x14ac:dyDescent="0.4">
      <c r="B3" s="255" t="s">
        <v>0</v>
      </c>
      <c r="C3" s="256"/>
      <c r="D3" s="256"/>
      <c r="E3" s="257"/>
      <c r="F3" s="257"/>
      <c r="G3" s="257"/>
      <c r="H3" s="257"/>
      <c r="I3" s="257"/>
      <c r="J3" s="257"/>
      <c r="K3" s="257"/>
      <c r="L3" s="257"/>
      <c r="M3" s="257"/>
      <c r="N3" s="257"/>
      <c r="O3" s="257"/>
      <c r="P3" s="257"/>
      <c r="Q3" s="257"/>
      <c r="R3" s="257"/>
      <c r="S3" s="257"/>
      <c r="T3" s="257"/>
      <c r="U3" s="257"/>
      <c r="V3" s="257"/>
      <c r="W3" s="257"/>
      <c r="X3" s="257"/>
      <c r="Y3" s="257"/>
      <c r="Z3" s="257"/>
      <c r="AA3" s="257"/>
      <c r="AB3" s="257"/>
      <c r="AC3" s="257"/>
      <c r="AD3" s="257"/>
      <c r="AE3" s="257"/>
      <c r="AF3" s="256"/>
      <c r="AG3" s="258"/>
      <c r="AI3" s="13" t="s">
        <v>1</v>
      </c>
      <c r="AJ3" s="14" t="s">
        <v>2</v>
      </c>
      <c r="AK3" s="14" t="s">
        <v>3</v>
      </c>
      <c r="AL3" s="14" t="s">
        <v>4</v>
      </c>
      <c r="AM3" s="15" t="s">
        <v>5</v>
      </c>
    </row>
    <row r="4" spans="1:39" s="73" customFormat="1" ht="44" thickBot="1" x14ac:dyDescent="0.4">
      <c r="B4" s="96" t="s">
        <v>2</v>
      </c>
      <c r="C4" s="97" t="s">
        <v>6</v>
      </c>
      <c r="D4" s="98" t="s">
        <v>72</v>
      </c>
      <c r="E4" s="124" t="s">
        <v>86</v>
      </c>
      <c r="F4" s="125" t="s">
        <v>83</v>
      </c>
      <c r="G4" s="126" t="s">
        <v>8</v>
      </c>
      <c r="H4" s="126" t="s">
        <v>8</v>
      </c>
      <c r="I4" s="126" t="s">
        <v>8</v>
      </c>
      <c r="J4" s="126" t="s">
        <v>8</v>
      </c>
      <c r="K4" s="126" t="s">
        <v>8</v>
      </c>
      <c r="L4" s="126" t="s">
        <v>8</v>
      </c>
      <c r="M4" s="126" t="s">
        <v>8</v>
      </c>
      <c r="N4" s="126" t="s">
        <v>8</v>
      </c>
      <c r="O4" s="126" t="s">
        <v>8</v>
      </c>
      <c r="P4" s="126" t="s">
        <v>8</v>
      </c>
      <c r="Q4" s="126" t="s">
        <v>8</v>
      </c>
      <c r="R4" s="126" t="s">
        <v>8</v>
      </c>
      <c r="S4" s="126" t="s">
        <v>8</v>
      </c>
      <c r="T4" s="126" t="s">
        <v>8</v>
      </c>
      <c r="U4" s="126" t="s">
        <v>8</v>
      </c>
      <c r="V4" s="125" t="s">
        <v>9</v>
      </c>
      <c r="W4" s="125" t="s">
        <v>10</v>
      </c>
      <c r="X4" s="127" t="s">
        <v>11</v>
      </c>
      <c r="Y4" s="127" t="s">
        <v>12</v>
      </c>
      <c r="Z4" s="118" t="s">
        <v>84</v>
      </c>
      <c r="AA4" s="143" t="s">
        <v>87</v>
      </c>
      <c r="AB4" s="144" t="s">
        <v>83</v>
      </c>
      <c r="AC4" s="145" t="s">
        <v>13</v>
      </c>
      <c r="AD4" s="145" t="s">
        <v>14</v>
      </c>
      <c r="AE4" s="122" t="s">
        <v>85</v>
      </c>
      <c r="AF4" s="120" t="s">
        <v>15</v>
      </c>
      <c r="AG4" s="99" t="s">
        <v>16</v>
      </c>
      <c r="AI4" s="247" t="s">
        <v>17</v>
      </c>
      <c r="AJ4" s="8">
        <v>1</v>
      </c>
      <c r="AK4" s="83" t="s">
        <v>18</v>
      </c>
      <c r="AL4" s="66">
        <f>16346153</f>
        <v>16346153</v>
      </c>
      <c r="AM4" s="248">
        <f>SUM(AL4:AL12)</f>
        <v>65600000</v>
      </c>
    </row>
    <row r="5" spans="1:39" ht="31.75" customHeight="1" x14ac:dyDescent="0.35">
      <c r="A5" s="4"/>
      <c r="B5" s="91">
        <v>1</v>
      </c>
      <c r="C5" s="92" t="s">
        <v>19</v>
      </c>
      <c r="D5" s="112" t="s">
        <v>82</v>
      </c>
      <c r="E5" s="128">
        <v>14926000</v>
      </c>
      <c r="F5" s="129">
        <v>1</v>
      </c>
      <c r="G5" s="130">
        <v>4150000000</v>
      </c>
      <c r="H5" s="130">
        <v>4150000000</v>
      </c>
      <c r="I5" s="130">
        <v>4150000000</v>
      </c>
      <c r="J5" s="130">
        <v>4150000000</v>
      </c>
      <c r="K5" s="130">
        <v>4150000000</v>
      </c>
      <c r="L5" s="130">
        <v>4150000000</v>
      </c>
      <c r="M5" s="130">
        <v>4150000000</v>
      </c>
      <c r="N5" s="130">
        <v>4150000000</v>
      </c>
      <c r="O5" s="130">
        <v>4150000000</v>
      </c>
      <c r="P5" s="130">
        <v>4150000000</v>
      </c>
      <c r="Q5" s="130">
        <v>4150000000</v>
      </c>
      <c r="R5" s="130">
        <v>4150000000</v>
      </c>
      <c r="S5" s="130">
        <v>4150000000</v>
      </c>
      <c r="T5" s="130">
        <v>4150000000</v>
      </c>
      <c r="U5" s="130">
        <v>3842900000</v>
      </c>
      <c r="V5" s="131">
        <f>SUM(G5:U5)</f>
        <v>61942900000</v>
      </c>
      <c r="W5" s="132">
        <f t="shared" ref="W5:W16" si="0">V5/4150</f>
        <v>14926000</v>
      </c>
      <c r="X5" s="132">
        <f>W5</f>
        <v>14926000</v>
      </c>
      <c r="Y5" s="133">
        <v>0</v>
      </c>
      <c r="Z5" s="119">
        <f>X5+Y5</f>
        <v>14926000</v>
      </c>
      <c r="AA5" s="146">
        <f>X5*4150</f>
        <v>61942900000</v>
      </c>
      <c r="AB5" s="147">
        <v>1</v>
      </c>
      <c r="AC5" s="121">
        <f>AA5*AB5</f>
        <v>61942900000</v>
      </c>
      <c r="AD5" s="121">
        <f>Y5*4150</f>
        <v>0</v>
      </c>
      <c r="AE5" s="123">
        <f>AC5+AD5</f>
        <v>61942900000</v>
      </c>
      <c r="AF5" s="101">
        <v>1242730</v>
      </c>
      <c r="AG5" s="100" t="s">
        <v>20</v>
      </c>
      <c r="AI5" s="241"/>
      <c r="AJ5" s="251">
        <v>2</v>
      </c>
      <c r="AK5" s="253" t="s">
        <v>21</v>
      </c>
      <c r="AL5" s="62">
        <v>852873.93</v>
      </c>
      <c r="AM5" s="249"/>
    </row>
    <row r="6" spans="1:39" x14ac:dyDescent="0.35">
      <c r="A6" s="4"/>
      <c r="B6" s="241">
        <v>2</v>
      </c>
      <c r="C6" s="259" t="s">
        <v>22</v>
      </c>
      <c r="D6" s="107" t="s">
        <v>88</v>
      </c>
      <c r="E6" s="128">
        <v>330000</v>
      </c>
      <c r="F6" s="129">
        <v>1</v>
      </c>
      <c r="G6" s="130">
        <v>1369500000</v>
      </c>
      <c r="H6" s="134"/>
      <c r="I6" s="134"/>
      <c r="J6" s="134"/>
      <c r="K6" s="134"/>
      <c r="L6" s="134"/>
      <c r="M6" s="134"/>
      <c r="N6" s="134"/>
      <c r="O6" s="134"/>
      <c r="P6" s="134"/>
      <c r="Q6" s="134"/>
      <c r="R6" s="134"/>
      <c r="S6" s="134"/>
      <c r="T6" s="134"/>
      <c r="U6" s="134"/>
      <c r="V6" s="131">
        <f t="shared" ref="V6:V9" si="1">SUM(G6:U6)</f>
        <v>1369500000</v>
      </c>
      <c r="W6" s="132">
        <f t="shared" si="0"/>
        <v>330000</v>
      </c>
      <c r="X6" s="110">
        <f>E6*F6</f>
        <v>330000</v>
      </c>
      <c r="Y6" s="211">
        <v>0</v>
      </c>
      <c r="Z6" s="213">
        <f>X6+Y6+E7</f>
        <v>500000</v>
      </c>
      <c r="AA6" s="146">
        <f>E6*4150</f>
        <v>1369500000</v>
      </c>
      <c r="AB6" s="147">
        <v>1</v>
      </c>
      <c r="AC6" s="121">
        <f>AA6*AB6</f>
        <v>1369500000</v>
      </c>
      <c r="AD6" s="246">
        <f>Y6*4150</f>
        <v>0</v>
      </c>
      <c r="AE6" s="232">
        <f>AC6+AD6+AC7</f>
        <v>2075000000</v>
      </c>
      <c r="AF6" s="102">
        <v>1240149</v>
      </c>
      <c r="AG6" s="205" t="s">
        <v>23</v>
      </c>
      <c r="AI6" s="241"/>
      <c r="AJ6" s="252"/>
      <c r="AK6" s="254"/>
      <c r="AL6" s="62">
        <v>610672.59</v>
      </c>
      <c r="AM6" s="249"/>
    </row>
    <row r="7" spans="1:39" x14ac:dyDescent="0.35">
      <c r="A7" s="4"/>
      <c r="B7" s="241"/>
      <c r="C7" s="259"/>
      <c r="D7" s="108" t="s">
        <v>89</v>
      </c>
      <c r="E7" s="128">
        <v>170000</v>
      </c>
      <c r="F7" s="129">
        <v>1</v>
      </c>
      <c r="G7" s="130">
        <v>705500000</v>
      </c>
      <c r="H7" s="134"/>
      <c r="I7" s="134"/>
      <c r="J7" s="134"/>
      <c r="K7" s="134"/>
      <c r="L7" s="134"/>
      <c r="M7" s="134"/>
      <c r="N7" s="134"/>
      <c r="O7" s="134"/>
      <c r="P7" s="134"/>
      <c r="Q7" s="134"/>
      <c r="R7" s="134"/>
      <c r="S7" s="134"/>
      <c r="T7" s="134"/>
      <c r="U7" s="134"/>
      <c r="V7" s="131">
        <f t="shared" si="1"/>
        <v>705500000</v>
      </c>
      <c r="W7" s="132">
        <f t="shared" si="0"/>
        <v>170000</v>
      </c>
      <c r="X7" s="110">
        <f>E7*F7</f>
        <v>170000</v>
      </c>
      <c r="Y7" s="211"/>
      <c r="Z7" s="213"/>
      <c r="AA7" s="146">
        <f>E7*4150</f>
        <v>705500000</v>
      </c>
      <c r="AB7" s="147">
        <v>1</v>
      </c>
      <c r="AC7" s="121">
        <f>AA7*AB7</f>
        <v>705500000</v>
      </c>
      <c r="AD7" s="246"/>
      <c r="AE7" s="232"/>
      <c r="AF7" s="102">
        <v>1234702</v>
      </c>
      <c r="AG7" s="205"/>
      <c r="AI7" s="241"/>
      <c r="AJ7" s="71">
        <v>3</v>
      </c>
      <c r="AK7" s="81" t="s">
        <v>24</v>
      </c>
      <c r="AL7" s="62">
        <v>209581.99</v>
      </c>
      <c r="AM7" s="249"/>
    </row>
    <row r="8" spans="1:39" ht="29" x14ac:dyDescent="0.35">
      <c r="A8" s="4"/>
      <c r="B8" s="85">
        <v>3</v>
      </c>
      <c r="C8" s="89" t="s">
        <v>25</v>
      </c>
      <c r="D8" s="113" t="s">
        <v>73</v>
      </c>
      <c r="E8" s="128">
        <v>2299000</v>
      </c>
      <c r="F8" s="129">
        <v>1</v>
      </c>
      <c r="G8" s="133">
        <v>4150</v>
      </c>
      <c r="H8" s="133">
        <f>9540850000</f>
        <v>9540850000</v>
      </c>
      <c r="I8" s="134"/>
      <c r="J8" s="134"/>
      <c r="K8" s="134"/>
      <c r="L8" s="134"/>
      <c r="M8" s="134"/>
      <c r="N8" s="134"/>
      <c r="O8" s="134"/>
      <c r="P8" s="134"/>
      <c r="Q8" s="134"/>
      <c r="R8" s="134"/>
      <c r="S8" s="134"/>
      <c r="T8" s="134"/>
      <c r="U8" s="134"/>
      <c r="V8" s="135">
        <f>SUM(H8:U8)</f>
        <v>9540850000</v>
      </c>
      <c r="W8" s="110">
        <f t="shared" si="0"/>
        <v>2299000</v>
      </c>
      <c r="X8" s="133">
        <v>1</v>
      </c>
      <c r="Y8" s="110">
        <f>W8-X8</f>
        <v>2298999</v>
      </c>
      <c r="Z8" s="119">
        <f>X8+Y8</f>
        <v>2299000</v>
      </c>
      <c r="AA8" s="146">
        <f>E8*4150</f>
        <v>9540850000</v>
      </c>
      <c r="AB8" s="147">
        <v>1</v>
      </c>
      <c r="AC8" s="121">
        <f>X8*4150</f>
        <v>4150</v>
      </c>
      <c r="AD8" s="121">
        <f>Y8*4150</f>
        <v>9540845850</v>
      </c>
      <c r="AE8" s="123">
        <f t="shared" ref="AE8" si="2">AC8+AD8</f>
        <v>9540850000</v>
      </c>
      <c r="AF8" s="102">
        <v>1242956</v>
      </c>
      <c r="AG8" s="74" t="s">
        <v>26</v>
      </c>
      <c r="AI8" s="241"/>
      <c r="AJ8" s="8">
        <v>4</v>
      </c>
      <c r="AK8" s="81" t="s">
        <v>27</v>
      </c>
      <c r="AL8" s="62">
        <v>38102.949999999997</v>
      </c>
      <c r="AM8" s="249"/>
    </row>
    <row r="9" spans="1:39" x14ac:dyDescent="0.35">
      <c r="A9" s="4"/>
      <c r="B9" s="241">
        <v>4</v>
      </c>
      <c r="C9" s="206" t="s">
        <v>28</v>
      </c>
      <c r="D9" s="208" t="s">
        <v>74</v>
      </c>
      <c r="E9" s="263">
        <v>28970000</v>
      </c>
      <c r="F9" s="210">
        <v>1</v>
      </c>
      <c r="G9" s="130">
        <v>60112750000</v>
      </c>
      <c r="H9" s="134"/>
      <c r="I9" s="134"/>
      <c r="J9" s="134"/>
      <c r="K9" s="134"/>
      <c r="L9" s="134"/>
      <c r="M9" s="134"/>
      <c r="N9" s="134"/>
      <c r="O9" s="134"/>
      <c r="P9" s="134"/>
      <c r="Q9" s="134"/>
      <c r="R9" s="134"/>
      <c r="S9" s="134"/>
      <c r="T9" s="134"/>
      <c r="U9" s="134"/>
      <c r="V9" s="131">
        <f t="shared" si="1"/>
        <v>60112750000</v>
      </c>
      <c r="W9" s="132">
        <f t="shared" si="0"/>
        <v>14485000</v>
      </c>
      <c r="X9" s="211">
        <f>W9+W10</f>
        <v>28970000</v>
      </c>
      <c r="Y9" s="211">
        <v>0</v>
      </c>
      <c r="Z9" s="213">
        <f>X9+Y9</f>
        <v>28970000</v>
      </c>
      <c r="AA9" s="260">
        <f>E9*4150</f>
        <v>120225500000</v>
      </c>
      <c r="AB9" s="265">
        <v>1</v>
      </c>
      <c r="AC9" s="246">
        <f>AA9*AB9</f>
        <v>120225500000</v>
      </c>
      <c r="AD9" s="246">
        <f>Y9*4150</f>
        <v>0</v>
      </c>
      <c r="AE9" s="232">
        <f>AC9+AD9</f>
        <v>120225500000</v>
      </c>
      <c r="AF9" s="102">
        <v>1242732</v>
      </c>
      <c r="AG9" s="32" t="s">
        <v>29</v>
      </c>
      <c r="AI9" s="241"/>
      <c r="AJ9" s="71">
        <v>5</v>
      </c>
      <c r="AK9" s="81" t="s">
        <v>30</v>
      </c>
      <c r="AL9" s="62">
        <v>2658.2</v>
      </c>
      <c r="AM9" s="249"/>
    </row>
    <row r="10" spans="1:39" x14ac:dyDescent="0.35">
      <c r="A10" s="4"/>
      <c r="B10" s="241"/>
      <c r="C10" s="207"/>
      <c r="D10" s="209"/>
      <c r="E10" s="263"/>
      <c r="F10" s="210"/>
      <c r="G10" s="130">
        <v>60112750000</v>
      </c>
      <c r="H10" s="134"/>
      <c r="I10" s="134"/>
      <c r="J10" s="134"/>
      <c r="K10" s="134"/>
      <c r="L10" s="134"/>
      <c r="M10" s="134"/>
      <c r="N10" s="134"/>
      <c r="O10" s="134"/>
      <c r="P10" s="134"/>
      <c r="Q10" s="134"/>
      <c r="R10" s="134"/>
      <c r="S10" s="134"/>
      <c r="T10" s="134"/>
      <c r="U10" s="134"/>
      <c r="V10" s="131">
        <f>SUM(G10:U10)</f>
        <v>60112750000</v>
      </c>
      <c r="W10" s="132">
        <f t="shared" si="0"/>
        <v>14485000</v>
      </c>
      <c r="X10" s="211"/>
      <c r="Y10" s="211"/>
      <c r="Z10" s="213"/>
      <c r="AA10" s="261"/>
      <c r="AB10" s="265"/>
      <c r="AC10" s="246"/>
      <c r="AD10" s="246"/>
      <c r="AE10" s="232"/>
      <c r="AF10" s="102">
        <v>1242732</v>
      </c>
      <c r="AG10" s="32" t="s">
        <v>31</v>
      </c>
      <c r="AI10" s="65" t="s">
        <v>32</v>
      </c>
      <c r="AJ10" s="8">
        <v>6</v>
      </c>
      <c r="AK10" s="81" t="s">
        <v>33</v>
      </c>
      <c r="AL10" s="62">
        <v>40696274</v>
      </c>
      <c r="AM10" s="249"/>
    </row>
    <row r="11" spans="1:39" ht="15" thickBot="1" x14ac:dyDescent="0.4">
      <c r="A11" s="4"/>
      <c r="B11" s="85">
        <v>5</v>
      </c>
      <c r="C11" s="90" t="s">
        <v>34</v>
      </c>
      <c r="D11" s="114" t="s">
        <v>75</v>
      </c>
      <c r="E11" s="128">
        <v>14024000</v>
      </c>
      <c r="F11" s="129">
        <v>1</v>
      </c>
      <c r="G11" s="130">
        <v>4150000000</v>
      </c>
      <c r="H11" s="130">
        <v>4150000000</v>
      </c>
      <c r="I11" s="130">
        <v>4150000000</v>
      </c>
      <c r="J11" s="130">
        <v>4150000000</v>
      </c>
      <c r="K11" s="130">
        <v>4150000000</v>
      </c>
      <c r="L11" s="130">
        <v>4150000000</v>
      </c>
      <c r="M11" s="130">
        <v>4150000000</v>
      </c>
      <c r="N11" s="130">
        <v>4150000000</v>
      </c>
      <c r="O11" s="130">
        <v>4150000000</v>
      </c>
      <c r="P11" s="130">
        <v>4150000000</v>
      </c>
      <c r="Q11" s="130">
        <v>4150000000</v>
      </c>
      <c r="R11" s="130">
        <v>4150000000</v>
      </c>
      <c r="S11" s="130">
        <v>4150000000</v>
      </c>
      <c r="T11" s="130">
        <v>4150000000</v>
      </c>
      <c r="U11" s="130">
        <v>99600000</v>
      </c>
      <c r="V11" s="131">
        <f>SUM(G11:U11)</f>
        <v>58199600000</v>
      </c>
      <c r="W11" s="132">
        <f t="shared" si="0"/>
        <v>14024000</v>
      </c>
      <c r="X11" s="132">
        <f t="shared" ref="X11:X16" si="3">W11</f>
        <v>14024000</v>
      </c>
      <c r="Y11" s="110">
        <v>0</v>
      </c>
      <c r="Z11" s="119">
        <f>X11+Y11</f>
        <v>14024000</v>
      </c>
      <c r="AA11" s="146">
        <f>E11*4150</f>
        <v>58199600000</v>
      </c>
      <c r="AB11" s="147">
        <v>1</v>
      </c>
      <c r="AC11" s="121">
        <f>AA11*AB11</f>
        <v>58199600000</v>
      </c>
      <c r="AD11" s="121">
        <f t="shared" ref="AD11:AD18" si="4">Y11*4150</f>
        <v>0</v>
      </c>
      <c r="AE11" s="123">
        <f>AC11+AD11</f>
        <v>58199600000</v>
      </c>
      <c r="AF11" s="102">
        <v>1242733</v>
      </c>
      <c r="AG11" s="32" t="s">
        <v>35</v>
      </c>
      <c r="AI11" s="241" t="s">
        <v>36</v>
      </c>
      <c r="AJ11" s="71">
        <v>7</v>
      </c>
      <c r="AK11" s="82" t="s">
        <v>37</v>
      </c>
      <c r="AL11" s="62">
        <v>6423333.9500000002</v>
      </c>
      <c r="AM11" s="249"/>
    </row>
    <row r="12" spans="1:39" ht="15" thickBot="1" x14ac:dyDescent="0.4">
      <c r="A12" s="4"/>
      <c r="B12" s="85">
        <v>6</v>
      </c>
      <c r="C12" s="90" t="s">
        <v>38</v>
      </c>
      <c r="D12" s="114" t="s">
        <v>75</v>
      </c>
      <c r="E12" s="128">
        <v>14024000</v>
      </c>
      <c r="F12" s="129">
        <v>1</v>
      </c>
      <c r="G12" s="130">
        <v>4150000000</v>
      </c>
      <c r="H12" s="130">
        <v>4150000000</v>
      </c>
      <c r="I12" s="130">
        <v>4150000000</v>
      </c>
      <c r="J12" s="130">
        <v>4150000000</v>
      </c>
      <c r="K12" s="130">
        <v>4150000000</v>
      </c>
      <c r="L12" s="130">
        <v>4150000000</v>
      </c>
      <c r="M12" s="130">
        <v>4150000000</v>
      </c>
      <c r="N12" s="130">
        <v>4150000000</v>
      </c>
      <c r="O12" s="130">
        <v>4150000000</v>
      </c>
      <c r="P12" s="130">
        <v>4150000000</v>
      </c>
      <c r="Q12" s="130">
        <v>4150000000</v>
      </c>
      <c r="R12" s="130">
        <v>4150000000</v>
      </c>
      <c r="S12" s="130">
        <v>4150000000</v>
      </c>
      <c r="T12" s="130">
        <v>4150000000</v>
      </c>
      <c r="U12" s="130">
        <v>99600000</v>
      </c>
      <c r="V12" s="131">
        <f>SUM(G12:U12)</f>
        <v>58199600000</v>
      </c>
      <c r="W12" s="132">
        <f t="shared" si="0"/>
        <v>14024000</v>
      </c>
      <c r="X12" s="132">
        <f t="shared" si="3"/>
        <v>14024000</v>
      </c>
      <c r="Y12" s="110">
        <v>0</v>
      </c>
      <c r="Z12" s="119">
        <f t="shared" ref="Z12:Z16" si="5">X12+Y12</f>
        <v>14024000</v>
      </c>
      <c r="AA12" s="146">
        <f t="shared" ref="AA12:AA13" si="6">E12*4150</f>
        <v>58199600000</v>
      </c>
      <c r="AB12" s="147">
        <v>1</v>
      </c>
      <c r="AC12" s="121">
        <f t="shared" ref="AC12:AC16" si="7">AA12*AB12</f>
        <v>58199600000</v>
      </c>
      <c r="AD12" s="121">
        <f t="shared" si="4"/>
        <v>0</v>
      </c>
      <c r="AE12" s="123">
        <f t="shared" ref="AE12:AE16" si="8">AC12+AD12</f>
        <v>58199600000</v>
      </c>
      <c r="AF12" s="102">
        <v>1242733</v>
      </c>
      <c r="AG12" s="32" t="s">
        <v>39</v>
      </c>
      <c r="AI12" s="242"/>
      <c r="AJ12" s="8">
        <v>8</v>
      </c>
      <c r="AK12" s="84" t="s">
        <v>40</v>
      </c>
      <c r="AL12" s="60">
        <v>420349.39</v>
      </c>
      <c r="AM12" s="250"/>
    </row>
    <row r="13" spans="1:39" ht="16" thickBot="1" x14ac:dyDescent="0.4">
      <c r="A13" s="4"/>
      <c r="B13" s="85">
        <v>7</v>
      </c>
      <c r="C13" s="90" t="s">
        <v>41</v>
      </c>
      <c r="D13" s="114" t="s">
        <v>76</v>
      </c>
      <c r="E13" s="128">
        <v>30000</v>
      </c>
      <c r="F13" s="129">
        <v>2</v>
      </c>
      <c r="G13" s="130">
        <v>124500000</v>
      </c>
      <c r="H13" s="130">
        <v>124500000</v>
      </c>
      <c r="I13" s="131"/>
      <c r="J13" s="134"/>
      <c r="K13" s="134"/>
      <c r="L13" s="134"/>
      <c r="M13" s="134"/>
      <c r="N13" s="134"/>
      <c r="O13" s="134"/>
      <c r="P13" s="134"/>
      <c r="Q13" s="134"/>
      <c r="R13" s="134"/>
      <c r="S13" s="134"/>
      <c r="T13" s="134"/>
      <c r="U13" s="134"/>
      <c r="V13" s="131">
        <f>SUM(G13:U13)</f>
        <v>249000000</v>
      </c>
      <c r="W13" s="132">
        <f t="shared" si="0"/>
        <v>60000</v>
      </c>
      <c r="X13" s="132">
        <f t="shared" si="3"/>
        <v>60000</v>
      </c>
      <c r="Y13" s="110">
        <v>0</v>
      </c>
      <c r="Z13" s="119">
        <f t="shared" si="5"/>
        <v>60000</v>
      </c>
      <c r="AA13" s="146">
        <f t="shared" si="6"/>
        <v>124500000</v>
      </c>
      <c r="AB13" s="147">
        <v>2</v>
      </c>
      <c r="AC13" s="121">
        <f t="shared" si="7"/>
        <v>249000000</v>
      </c>
      <c r="AD13" s="121">
        <f t="shared" si="4"/>
        <v>0</v>
      </c>
      <c r="AE13" s="123">
        <f t="shared" si="8"/>
        <v>249000000</v>
      </c>
      <c r="AF13" s="102">
        <v>1242734</v>
      </c>
      <c r="AG13" s="32" t="s">
        <v>20</v>
      </c>
      <c r="AI13" s="243" t="s">
        <v>42</v>
      </c>
      <c r="AJ13" s="244"/>
      <c r="AK13" s="244"/>
      <c r="AL13" s="244"/>
      <c r="AM13" s="245"/>
    </row>
    <row r="14" spans="1:39" ht="15" thickBot="1" x14ac:dyDescent="0.4">
      <c r="A14" s="4"/>
      <c r="B14" s="85">
        <v>8</v>
      </c>
      <c r="C14" s="90" t="s">
        <v>43</v>
      </c>
      <c r="D14" s="114" t="s">
        <v>81</v>
      </c>
      <c r="E14" s="128">
        <f>312000/6</f>
        <v>52000</v>
      </c>
      <c r="F14" s="129">
        <v>6</v>
      </c>
      <c r="G14" s="130">
        <v>1294800000</v>
      </c>
      <c r="H14" s="134"/>
      <c r="I14" s="134"/>
      <c r="J14" s="134"/>
      <c r="K14" s="134"/>
      <c r="L14" s="134"/>
      <c r="M14" s="134"/>
      <c r="N14" s="134"/>
      <c r="O14" s="134"/>
      <c r="P14" s="134"/>
      <c r="Q14" s="134"/>
      <c r="R14" s="134"/>
      <c r="S14" s="134"/>
      <c r="T14" s="134"/>
      <c r="U14" s="134"/>
      <c r="V14" s="131">
        <f>SUM(G14:U14)</f>
        <v>1294800000</v>
      </c>
      <c r="W14" s="132">
        <f t="shared" si="0"/>
        <v>312000</v>
      </c>
      <c r="X14" s="132">
        <f t="shared" si="3"/>
        <v>312000</v>
      </c>
      <c r="Y14" s="110">
        <v>0</v>
      </c>
      <c r="Z14" s="119">
        <f t="shared" si="5"/>
        <v>312000</v>
      </c>
      <c r="AA14" s="146">
        <f>E14*4150</f>
        <v>215800000</v>
      </c>
      <c r="AB14" s="147">
        <v>6</v>
      </c>
      <c r="AC14" s="121">
        <f t="shared" si="7"/>
        <v>1294800000</v>
      </c>
      <c r="AD14" s="121">
        <f t="shared" si="4"/>
        <v>0</v>
      </c>
      <c r="AE14" s="123">
        <f>AC14+AD14</f>
        <v>1294800000</v>
      </c>
      <c r="AF14" s="103">
        <v>1242735</v>
      </c>
      <c r="AG14" s="32" t="s">
        <v>44</v>
      </c>
      <c r="AI14" s="63"/>
      <c r="AJ14" s="63"/>
      <c r="AK14" s="63"/>
      <c r="AL14" s="63"/>
      <c r="AM14" s="63"/>
    </row>
    <row r="15" spans="1:39" ht="28.4" customHeight="1" thickBot="1" x14ac:dyDescent="0.4">
      <c r="A15" s="4"/>
      <c r="B15" s="85">
        <v>9</v>
      </c>
      <c r="C15" s="88" t="s">
        <v>45</v>
      </c>
      <c r="D15" s="115" t="s">
        <v>77</v>
      </c>
      <c r="E15" s="128">
        <v>420500</v>
      </c>
      <c r="F15" s="129">
        <v>1</v>
      </c>
      <c r="G15" s="130">
        <v>1745075000</v>
      </c>
      <c r="H15" s="134"/>
      <c r="I15" s="134"/>
      <c r="J15" s="134"/>
      <c r="K15" s="134"/>
      <c r="L15" s="134"/>
      <c r="M15" s="134"/>
      <c r="N15" s="134"/>
      <c r="O15" s="134"/>
      <c r="P15" s="134"/>
      <c r="Q15" s="134"/>
      <c r="R15" s="134"/>
      <c r="S15" s="134"/>
      <c r="T15" s="134"/>
      <c r="U15" s="134"/>
      <c r="V15" s="135">
        <f t="shared" ref="V15:V16" si="9">SUM(G15:U15)</f>
        <v>1745075000</v>
      </c>
      <c r="W15" s="110">
        <f t="shared" si="0"/>
        <v>420500</v>
      </c>
      <c r="X15" s="110">
        <v>0</v>
      </c>
      <c r="Y15" s="110">
        <f>W15</f>
        <v>420500</v>
      </c>
      <c r="Z15" s="119">
        <f t="shared" si="5"/>
        <v>420500</v>
      </c>
      <c r="AA15" s="146">
        <f>E15*4150</f>
        <v>1745075000</v>
      </c>
      <c r="AB15" s="147">
        <v>1</v>
      </c>
      <c r="AC15" s="121">
        <v>0</v>
      </c>
      <c r="AD15" s="121">
        <f t="shared" si="4"/>
        <v>1745075000</v>
      </c>
      <c r="AE15" s="123">
        <f t="shared" si="8"/>
        <v>1745075000</v>
      </c>
      <c r="AF15" s="104">
        <v>1242737</v>
      </c>
      <c r="AG15" s="75" t="s">
        <v>46</v>
      </c>
      <c r="AI15" s="93" t="s">
        <v>49</v>
      </c>
      <c r="AJ15" s="94" t="s">
        <v>7</v>
      </c>
      <c r="AK15" s="95" t="s">
        <v>3</v>
      </c>
      <c r="AL15" s="94" t="s">
        <v>50</v>
      </c>
      <c r="AM15" s="77" t="s">
        <v>51</v>
      </c>
    </row>
    <row r="16" spans="1:39" s="182" customFormat="1" ht="28.75" customHeight="1" x14ac:dyDescent="0.35">
      <c r="A16" s="166"/>
      <c r="B16" s="167">
        <v>10</v>
      </c>
      <c r="C16" s="168" t="s">
        <v>47</v>
      </c>
      <c r="D16" s="169" t="s">
        <v>78</v>
      </c>
      <c r="E16" s="170">
        <v>400000</v>
      </c>
      <c r="F16" s="171">
        <v>1</v>
      </c>
      <c r="G16" s="172">
        <v>1660000000</v>
      </c>
      <c r="H16" s="173"/>
      <c r="I16" s="173"/>
      <c r="J16" s="173"/>
      <c r="K16" s="173"/>
      <c r="L16" s="173"/>
      <c r="M16" s="173"/>
      <c r="N16" s="173"/>
      <c r="O16" s="173"/>
      <c r="P16" s="173"/>
      <c r="Q16" s="173"/>
      <c r="R16" s="173"/>
      <c r="S16" s="173"/>
      <c r="T16" s="173"/>
      <c r="U16" s="173"/>
      <c r="V16" s="174">
        <f t="shared" si="9"/>
        <v>1660000000</v>
      </c>
      <c r="W16" s="175">
        <f t="shared" si="0"/>
        <v>400000</v>
      </c>
      <c r="X16" s="176">
        <f t="shared" si="3"/>
        <v>400000</v>
      </c>
      <c r="Y16" s="176">
        <v>0</v>
      </c>
      <c r="Z16" s="177">
        <f t="shared" si="5"/>
        <v>400000</v>
      </c>
      <c r="AA16" s="178">
        <f>E16*4150</f>
        <v>1660000000</v>
      </c>
      <c r="AB16" s="171">
        <v>1</v>
      </c>
      <c r="AC16" s="176">
        <f t="shared" si="7"/>
        <v>1660000000</v>
      </c>
      <c r="AD16" s="176">
        <f t="shared" si="4"/>
        <v>0</v>
      </c>
      <c r="AE16" s="179">
        <f t="shared" si="8"/>
        <v>1660000000</v>
      </c>
      <c r="AF16" s="180">
        <v>1242736</v>
      </c>
      <c r="AG16" s="181" t="s">
        <v>20</v>
      </c>
      <c r="AI16" s="183" t="s">
        <v>19</v>
      </c>
      <c r="AJ16" s="184">
        <v>1</v>
      </c>
      <c r="AK16" s="214" t="s">
        <v>55</v>
      </c>
      <c r="AL16" s="185">
        <v>14926000</v>
      </c>
      <c r="AM16" s="229">
        <f>SUM(AL16:AL26)-AM4-AL22</f>
        <v>18893128</v>
      </c>
    </row>
    <row r="17" spans="2:42" ht="29" x14ac:dyDescent="0.35">
      <c r="B17" s="241">
        <v>11</v>
      </c>
      <c r="C17" s="206" t="s">
        <v>52</v>
      </c>
      <c r="D17" s="115" t="s">
        <v>79</v>
      </c>
      <c r="E17" s="263">
        <v>7308128</v>
      </c>
      <c r="F17" s="129" t="s">
        <v>53</v>
      </c>
      <c r="G17" s="133">
        <f>21702037514.5-G6-G7</f>
        <v>19627037514.5</v>
      </c>
      <c r="H17" s="136"/>
      <c r="I17" s="136"/>
      <c r="J17" s="134"/>
      <c r="K17" s="134"/>
      <c r="L17" s="134"/>
      <c r="M17" s="134"/>
      <c r="N17" s="134"/>
      <c r="O17" s="134"/>
      <c r="P17" s="134"/>
      <c r="Q17" s="134"/>
      <c r="R17" s="134"/>
      <c r="S17" s="134"/>
      <c r="T17" s="134"/>
      <c r="U17" s="134"/>
      <c r="V17" s="135">
        <f>SUM(G17:U17)</f>
        <v>19627037514.5</v>
      </c>
      <c r="W17" s="110">
        <f>V17/4150</f>
        <v>4729406.63</v>
      </c>
      <c r="X17" s="110">
        <f>W17</f>
        <v>4729406.63</v>
      </c>
      <c r="Y17" s="111">
        <v>0</v>
      </c>
      <c r="Z17" s="213">
        <f>X17+X18+Y18</f>
        <v>7308128</v>
      </c>
      <c r="AA17" s="260">
        <f>E17*4150</f>
        <v>30328731200</v>
      </c>
      <c r="AB17" s="147" t="s">
        <v>53</v>
      </c>
      <c r="AC17" s="121">
        <f>X17*4150</f>
        <v>19627037514.5</v>
      </c>
      <c r="AD17" s="121">
        <f t="shared" si="4"/>
        <v>0</v>
      </c>
      <c r="AE17" s="232">
        <f>AC17+AC18+AD18</f>
        <v>30328731200</v>
      </c>
      <c r="AF17" s="105" t="s">
        <v>54</v>
      </c>
      <c r="AG17" s="75" t="s">
        <v>23</v>
      </c>
      <c r="AI17" s="78" t="s">
        <v>28</v>
      </c>
      <c r="AJ17" s="71">
        <v>1</v>
      </c>
      <c r="AK17" s="215"/>
      <c r="AL17" s="79">
        <v>28970000</v>
      </c>
      <c r="AM17" s="230"/>
    </row>
    <row r="18" spans="2:42" ht="44" thickBot="1" x14ac:dyDescent="0.4">
      <c r="B18" s="242"/>
      <c r="C18" s="212"/>
      <c r="D18" s="116" t="s">
        <v>79</v>
      </c>
      <c r="E18" s="264"/>
      <c r="F18" s="137" t="s">
        <v>53</v>
      </c>
      <c r="G18" s="138"/>
      <c r="H18" s="138">
        <f>4150*3</f>
        <v>12450</v>
      </c>
      <c r="I18" s="138">
        <f>1478672971+1292797127+7930223587.5</f>
        <v>10701693685.5</v>
      </c>
      <c r="J18" s="139"/>
      <c r="K18" s="139"/>
      <c r="L18" s="139"/>
      <c r="M18" s="139"/>
      <c r="N18" s="139"/>
      <c r="O18" s="139"/>
      <c r="P18" s="139"/>
      <c r="Q18" s="139"/>
      <c r="R18" s="139"/>
      <c r="S18" s="139"/>
      <c r="T18" s="139"/>
      <c r="U18" s="139"/>
      <c r="V18" s="140">
        <f>I18</f>
        <v>10701693685.5</v>
      </c>
      <c r="W18" s="141">
        <f>V18/4150</f>
        <v>2578721.37</v>
      </c>
      <c r="X18" s="142">
        <v>3</v>
      </c>
      <c r="Y18" s="141">
        <f>W18-X18</f>
        <v>2578718.37</v>
      </c>
      <c r="Z18" s="240"/>
      <c r="AA18" s="262"/>
      <c r="AB18" s="148" t="s">
        <v>53</v>
      </c>
      <c r="AC18" s="149">
        <f>X18*4150</f>
        <v>12450</v>
      </c>
      <c r="AD18" s="149">
        <f t="shared" si="4"/>
        <v>10701681235.5</v>
      </c>
      <c r="AE18" s="233"/>
      <c r="AF18" s="106" t="s">
        <v>56</v>
      </c>
      <c r="AG18" s="76" t="s">
        <v>26</v>
      </c>
      <c r="AI18" s="78" t="s">
        <v>34</v>
      </c>
      <c r="AJ18" s="71">
        <v>2</v>
      </c>
      <c r="AK18" s="215"/>
      <c r="AL18" s="79">
        <v>28048000</v>
      </c>
      <c r="AM18" s="230"/>
    </row>
    <row r="19" spans="2:42" ht="15" thickBot="1" x14ac:dyDescent="0.4">
      <c r="Z19" s="117">
        <f>SUM(Z5:Z18)</f>
        <v>83243628</v>
      </c>
      <c r="AA19" s="109"/>
      <c r="AB19" s="109"/>
      <c r="AE19" s="117">
        <f>SUM(AE5:AE18)</f>
        <v>345461056200</v>
      </c>
      <c r="AI19" s="65" t="s">
        <v>57</v>
      </c>
      <c r="AJ19" s="71">
        <v>6</v>
      </c>
      <c r="AK19" s="215"/>
      <c r="AL19" s="79">
        <v>312000</v>
      </c>
      <c r="AM19" s="230"/>
    </row>
    <row r="20" spans="2:42" x14ac:dyDescent="0.35">
      <c r="I20" s="1"/>
      <c r="J20" s="2"/>
      <c r="AF20" s="56"/>
      <c r="AI20" s="65" t="s">
        <v>58</v>
      </c>
      <c r="AJ20" s="71">
        <v>2</v>
      </c>
      <c r="AK20" s="215"/>
      <c r="AL20" s="79">
        <v>60000</v>
      </c>
      <c r="AM20" s="230"/>
    </row>
    <row r="21" spans="2:42" x14ac:dyDescent="0.35">
      <c r="AD21" s="187" t="s">
        <v>111</v>
      </c>
      <c r="AE21" s="109">
        <f>+AE19-AE16</f>
        <v>343801056200</v>
      </c>
      <c r="AI21" s="65" t="s">
        <v>52</v>
      </c>
      <c r="AJ21" s="71" t="s">
        <v>53</v>
      </c>
      <c r="AK21" s="215"/>
      <c r="AL21" s="79">
        <v>7308128</v>
      </c>
      <c r="AM21" s="230"/>
    </row>
    <row r="22" spans="2:42" ht="15" thickBot="1" x14ac:dyDescent="0.4">
      <c r="X22" s="7"/>
      <c r="Y22" s="7"/>
      <c r="Z22" s="7"/>
      <c r="AA22" s="7"/>
      <c r="AB22" s="7"/>
      <c r="AC22" s="7"/>
      <c r="AD22" s="7"/>
      <c r="AE22" s="7"/>
      <c r="AI22" s="65" t="s">
        <v>45</v>
      </c>
      <c r="AJ22" s="71">
        <v>1</v>
      </c>
      <c r="AK22" s="216"/>
      <c r="AL22" s="79">
        <v>420500</v>
      </c>
      <c r="AM22" s="230"/>
    </row>
    <row r="23" spans="2:42" ht="21" customHeight="1" x14ac:dyDescent="0.35">
      <c r="D23" s="234" t="s">
        <v>90</v>
      </c>
      <c r="E23" s="235"/>
      <c r="F23" s="235"/>
      <c r="G23" s="235"/>
      <c r="H23" s="235"/>
      <c r="I23" s="235"/>
      <c r="J23" s="235"/>
      <c r="K23" s="235"/>
      <c r="L23" s="235"/>
      <c r="M23" s="235"/>
      <c r="N23" s="235"/>
      <c r="O23" s="235"/>
      <c r="P23" s="235"/>
      <c r="Q23" s="235"/>
      <c r="R23" s="235"/>
      <c r="S23" s="235"/>
      <c r="T23" s="235"/>
      <c r="U23" s="235"/>
      <c r="V23" s="235"/>
      <c r="W23" s="235"/>
      <c r="X23" s="235"/>
      <c r="Y23" s="235"/>
      <c r="Z23" s="236"/>
      <c r="AI23" s="67" t="s">
        <v>25</v>
      </c>
      <c r="AJ23" s="71">
        <v>1</v>
      </c>
      <c r="AK23" s="81" t="s">
        <v>59</v>
      </c>
      <c r="AL23" s="79">
        <v>2299000</v>
      </c>
      <c r="AM23" s="230"/>
      <c r="AP23" s="2">
        <f>AM4+AM16-AL29</f>
        <v>82823128</v>
      </c>
    </row>
    <row r="24" spans="2:42" ht="19.75" customHeight="1" thickBot="1" x14ac:dyDescent="0.4">
      <c r="D24" s="237"/>
      <c r="E24" s="238"/>
      <c r="F24" s="238"/>
      <c r="G24" s="238"/>
      <c r="H24" s="238"/>
      <c r="I24" s="238"/>
      <c r="J24" s="238"/>
      <c r="K24" s="238"/>
      <c r="L24" s="238"/>
      <c r="M24" s="238"/>
      <c r="N24" s="238"/>
      <c r="O24" s="238"/>
      <c r="P24" s="238"/>
      <c r="Q24" s="238"/>
      <c r="R24" s="238"/>
      <c r="S24" s="238"/>
      <c r="T24" s="238"/>
      <c r="U24" s="238"/>
      <c r="V24" s="238"/>
      <c r="W24" s="238"/>
      <c r="X24" s="238"/>
      <c r="Y24" s="238"/>
      <c r="Z24" s="239"/>
      <c r="AA24" s="7"/>
      <c r="AB24" s="7"/>
      <c r="AC24" s="7"/>
      <c r="AD24" s="7"/>
      <c r="AE24" s="7"/>
      <c r="AI24" s="65" t="s">
        <v>60</v>
      </c>
      <c r="AJ24" s="71">
        <v>1</v>
      </c>
      <c r="AK24" s="81" t="s">
        <v>61</v>
      </c>
      <c r="AL24" s="79">
        <v>1670000</v>
      </c>
      <c r="AM24" s="230"/>
    </row>
    <row r="25" spans="2:42" x14ac:dyDescent="0.35">
      <c r="AI25" s="65" t="s">
        <v>47</v>
      </c>
      <c r="AJ25" s="71">
        <v>1</v>
      </c>
      <c r="AK25" s="81"/>
      <c r="AL25" s="79">
        <v>400000</v>
      </c>
      <c r="AM25" s="230"/>
    </row>
    <row r="26" spans="2:42" ht="15" thickBot="1" x14ac:dyDescent="0.4">
      <c r="AI26" s="68" t="s">
        <v>22</v>
      </c>
      <c r="AJ26" s="72">
        <v>2</v>
      </c>
      <c r="AK26" s="82" t="s">
        <v>62</v>
      </c>
      <c r="AL26" s="80">
        <v>500000</v>
      </c>
      <c r="AM26" s="231"/>
    </row>
    <row r="27" spans="2:42" x14ac:dyDescent="0.35">
      <c r="AK27" s="1"/>
      <c r="AL27" s="69">
        <f>SUM(AL16:AL26)</f>
        <v>84913628</v>
      </c>
    </row>
    <row r="28" spans="2:42" x14ac:dyDescent="0.35">
      <c r="AK28" s="61" t="s">
        <v>63</v>
      </c>
      <c r="AL28" s="70">
        <v>420500</v>
      </c>
    </row>
    <row r="29" spans="2:42" ht="15" thickBot="1" x14ac:dyDescent="0.4">
      <c r="AK29" s="87" t="s">
        <v>80</v>
      </c>
      <c r="AL29" s="86">
        <f>AL24</f>
        <v>1670000</v>
      </c>
    </row>
    <row r="30" spans="2:42" ht="15" thickBot="1" x14ac:dyDescent="0.4">
      <c r="AK30" s="1"/>
      <c r="AL30" s="64">
        <f>AL27-AL28-AL29</f>
        <v>82823128</v>
      </c>
    </row>
    <row r="31" spans="2:42" ht="46.4" customHeight="1" x14ac:dyDescent="0.35">
      <c r="AI31" s="217" t="s">
        <v>64</v>
      </c>
      <c r="AJ31" s="218"/>
      <c r="AK31" s="218"/>
      <c r="AL31" s="218"/>
      <c r="AM31" s="219"/>
    </row>
    <row r="32" spans="2:42" ht="12" hidden="1" customHeight="1" x14ac:dyDescent="0.35">
      <c r="AI32" s="220"/>
      <c r="AJ32" s="221"/>
      <c r="AK32" s="221"/>
      <c r="AL32" s="221"/>
      <c r="AM32" s="222"/>
    </row>
    <row r="33" spans="35:39" ht="14.5" hidden="1" customHeight="1" x14ac:dyDescent="0.35">
      <c r="AI33" s="223"/>
      <c r="AJ33" s="224"/>
      <c r="AK33" s="224"/>
      <c r="AL33" s="224"/>
      <c r="AM33" s="225"/>
    </row>
    <row r="34" spans="35:39" ht="29.5" customHeight="1" thickBot="1" x14ac:dyDescent="0.4">
      <c r="AI34" s="226" t="s">
        <v>65</v>
      </c>
      <c r="AJ34" s="227"/>
      <c r="AK34" s="227"/>
      <c r="AL34" s="227"/>
      <c r="AM34" s="228"/>
    </row>
    <row r="36" spans="35:39" ht="30" customHeight="1" x14ac:dyDescent="0.35"/>
    <row r="56" spans="8:8" ht="27.65" customHeight="1" x14ac:dyDescent="0.35"/>
    <row r="57" spans="8:8" x14ac:dyDescent="0.35">
      <c r="H57" s="1"/>
    </row>
    <row r="58" spans="8:8" x14ac:dyDescent="0.35">
      <c r="H58" s="1"/>
    </row>
    <row r="59" spans="8:8" x14ac:dyDescent="0.35">
      <c r="H59" s="1"/>
    </row>
    <row r="60" spans="8:8" x14ac:dyDescent="0.35">
      <c r="H60" s="1"/>
    </row>
  </sheetData>
  <mergeCells count="38">
    <mergeCell ref="B3:AG3"/>
    <mergeCell ref="C6:C7"/>
    <mergeCell ref="AD6:AD7"/>
    <mergeCell ref="AE6:AE7"/>
    <mergeCell ref="AA9:AA10"/>
    <mergeCell ref="E9:E10"/>
    <mergeCell ref="AB9:AB10"/>
    <mergeCell ref="Y6:Y7"/>
    <mergeCell ref="Z6:Z7"/>
    <mergeCell ref="Y9:Y10"/>
    <mergeCell ref="AK5:AK6"/>
    <mergeCell ref="AC9:AC10"/>
    <mergeCell ref="B17:B18"/>
    <mergeCell ref="B9:B10"/>
    <mergeCell ref="B6:B7"/>
    <mergeCell ref="AA17:AA18"/>
    <mergeCell ref="E17:E18"/>
    <mergeCell ref="C17:C18"/>
    <mergeCell ref="Z9:Z10"/>
    <mergeCell ref="AK16:AK22"/>
    <mergeCell ref="AI31:AM33"/>
    <mergeCell ref="AI34:AM34"/>
    <mergeCell ref="AM16:AM26"/>
    <mergeCell ref="AE17:AE18"/>
    <mergeCell ref="D23:Z24"/>
    <mergeCell ref="Z17:Z18"/>
    <mergeCell ref="AI11:AI12"/>
    <mergeCell ref="AI13:AM13"/>
    <mergeCell ref="AD9:AD10"/>
    <mergeCell ref="AE9:AE10"/>
    <mergeCell ref="AI4:AI9"/>
    <mergeCell ref="AM4:AM12"/>
    <mergeCell ref="AJ5:AJ6"/>
    <mergeCell ref="AG6:AG7"/>
    <mergeCell ref="C9:C10"/>
    <mergeCell ref="D9:D10"/>
    <mergeCell ref="F9:F10"/>
    <mergeCell ref="X9:X10"/>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8E209-4727-44EE-B3D2-B58BA22E38E1}">
  <dimension ref="B2:G40"/>
  <sheetViews>
    <sheetView tabSelected="1" workbookViewId="0">
      <selection activeCell="F17" sqref="F17"/>
    </sheetView>
  </sheetViews>
  <sheetFormatPr baseColWidth="10" defaultColWidth="8.81640625" defaultRowHeight="14.5" x14ac:dyDescent="0.35"/>
  <cols>
    <col min="1" max="2" width="3.453125" style="59" customWidth="1"/>
    <col min="3" max="3" width="15.54296875" style="59" customWidth="1"/>
    <col min="4" max="4" width="23.36328125" style="59" customWidth="1"/>
    <col min="5" max="5" width="16.90625" style="300" bestFit="1" customWidth="1"/>
    <col min="6" max="6" width="12.7265625" style="59" bestFit="1" customWidth="1"/>
    <col min="7" max="7" width="19.81640625" style="59" customWidth="1"/>
    <col min="8" max="8" width="5.54296875" style="59" customWidth="1"/>
    <col min="9" max="16384" width="8.81640625" style="59"/>
  </cols>
  <sheetData>
    <row r="2" spans="2:7" ht="15" thickBot="1" x14ac:dyDescent="0.4"/>
    <row r="3" spans="2:7" ht="15" thickBot="1" x14ac:dyDescent="0.4">
      <c r="B3" s="287" t="s">
        <v>0</v>
      </c>
      <c r="C3" s="288"/>
      <c r="D3" s="288"/>
      <c r="E3" s="289"/>
      <c r="F3" s="288"/>
      <c r="G3" s="290"/>
    </row>
    <row r="4" spans="2:7" ht="15" thickBot="1" x14ac:dyDescent="0.4">
      <c r="B4" s="301" t="s">
        <v>2</v>
      </c>
      <c r="C4" s="285" t="s">
        <v>6</v>
      </c>
      <c r="D4" s="284" t="s">
        <v>72</v>
      </c>
      <c r="E4" s="283" t="s">
        <v>85</v>
      </c>
      <c r="F4" s="323" t="s">
        <v>15</v>
      </c>
      <c r="G4" s="286" t="s">
        <v>16</v>
      </c>
    </row>
    <row r="5" spans="2:7" ht="72.5" x14ac:dyDescent="0.35">
      <c r="B5" s="291">
        <v>1</v>
      </c>
      <c r="C5" s="302" t="s">
        <v>19</v>
      </c>
      <c r="D5" s="303" t="s">
        <v>82</v>
      </c>
      <c r="E5" s="304">
        <v>61942900000</v>
      </c>
      <c r="F5" s="292">
        <v>1242730</v>
      </c>
      <c r="G5" s="305" t="s">
        <v>20</v>
      </c>
    </row>
    <row r="6" spans="2:7" ht="43.5" x14ac:dyDescent="0.35">
      <c r="B6" s="293">
        <v>2</v>
      </c>
      <c r="C6" s="306" t="s">
        <v>22</v>
      </c>
      <c r="D6" s="307" t="s">
        <v>88</v>
      </c>
      <c r="E6" s="294">
        <v>2075000000</v>
      </c>
      <c r="F6" s="295">
        <v>1240149</v>
      </c>
      <c r="G6" s="308" t="s">
        <v>23</v>
      </c>
    </row>
    <row r="7" spans="2:7" ht="29" x14ac:dyDescent="0.35">
      <c r="B7" s="293"/>
      <c r="C7" s="306"/>
      <c r="D7" s="309" t="s">
        <v>89</v>
      </c>
      <c r="E7" s="294"/>
      <c r="F7" s="295">
        <v>1234702</v>
      </c>
      <c r="G7" s="308"/>
    </row>
    <row r="8" spans="2:7" ht="72.5" x14ac:dyDescent="0.35">
      <c r="B8" s="296">
        <v>3</v>
      </c>
      <c r="C8" s="310" t="s">
        <v>25</v>
      </c>
      <c r="D8" s="311" t="s">
        <v>73</v>
      </c>
      <c r="E8" s="304">
        <v>9540850000</v>
      </c>
      <c r="F8" s="295">
        <v>1242956</v>
      </c>
      <c r="G8" s="312" t="s">
        <v>26</v>
      </c>
    </row>
    <row r="9" spans="2:7" ht="29" x14ac:dyDescent="0.35">
      <c r="B9" s="293">
        <v>4</v>
      </c>
      <c r="C9" s="313" t="s">
        <v>28</v>
      </c>
      <c r="D9" s="314" t="s">
        <v>74</v>
      </c>
      <c r="E9" s="294">
        <v>120225500000</v>
      </c>
      <c r="F9" s="295">
        <v>1242732</v>
      </c>
      <c r="G9" s="312" t="s">
        <v>29</v>
      </c>
    </row>
    <row r="10" spans="2:7" ht="29" x14ac:dyDescent="0.35">
      <c r="B10" s="293"/>
      <c r="C10" s="315"/>
      <c r="D10" s="316"/>
      <c r="E10" s="294"/>
      <c r="F10" s="295">
        <v>1242732</v>
      </c>
      <c r="G10" s="312" t="s">
        <v>31</v>
      </c>
    </row>
    <row r="11" spans="2:7" ht="29" x14ac:dyDescent="0.35">
      <c r="B11" s="296">
        <v>5</v>
      </c>
      <c r="C11" s="317" t="s">
        <v>34</v>
      </c>
      <c r="D11" s="318" t="s">
        <v>75</v>
      </c>
      <c r="E11" s="304">
        <v>58199600000</v>
      </c>
      <c r="F11" s="295">
        <v>1242733</v>
      </c>
      <c r="G11" s="312" t="s">
        <v>35</v>
      </c>
    </row>
    <row r="12" spans="2:7" ht="29" x14ac:dyDescent="0.35">
      <c r="B12" s="296">
        <v>6</v>
      </c>
      <c r="C12" s="317" t="s">
        <v>38</v>
      </c>
      <c r="D12" s="318" t="s">
        <v>75</v>
      </c>
      <c r="E12" s="304">
        <v>58199600000</v>
      </c>
      <c r="F12" s="295">
        <v>1242733</v>
      </c>
      <c r="G12" s="312" t="s">
        <v>39</v>
      </c>
    </row>
    <row r="13" spans="2:7" ht="43.5" x14ac:dyDescent="0.35">
      <c r="B13" s="296">
        <v>7</v>
      </c>
      <c r="C13" s="317" t="s">
        <v>41</v>
      </c>
      <c r="D13" s="318" t="s">
        <v>76</v>
      </c>
      <c r="E13" s="304">
        <v>249000000</v>
      </c>
      <c r="F13" s="295">
        <v>1242734</v>
      </c>
      <c r="G13" s="312" t="s">
        <v>20</v>
      </c>
    </row>
    <row r="14" spans="2:7" ht="29" x14ac:dyDescent="0.35">
      <c r="B14" s="296">
        <v>8</v>
      </c>
      <c r="C14" s="317" t="s">
        <v>43</v>
      </c>
      <c r="D14" s="318" t="s">
        <v>81</v>
      </c>
      <c r="E14" s="304">
        <v>1294800000</v>
      </c>
      <c r="F14" s="105">
        <v>1242735</v>
      </c>
      <c r="G14" s="312" t="s">
        <v>44</v>
      </c>
    </row>
    <row r="15" spans="2:7" ht="28.4" customHeight="1" x14ac:dyDescent="0.35">
      <c r="B15" s="296">
        <v>9</v>
      </c>
      <c r="C15" s="317" t="s">
        <v>45</v>
      </c>
      <c r="D15" s="318" t="s">
        <v>77</v>
      </c>
      <c r="E15" s="304">
        <v>1745075000</v>
      </c>
      <c r="F15" s="297">
        <v>1242737</v>
      </c>
      <c r="G15" s="312" t="s">
        <v>46</v>
      </c>
    </row>
    <row r="16" spans="2:7" ht="29" x14ac:dyDescent="0.35">
      <c r="B16" s="293">
        <v>11</v>
      </c>
      <c r="C16" s="313" t="s">
        <v>52</v>
      </c>
      <c r="D16" s="318" t="s">
        <v>79</v>
      </c>
      <c r="E16" s="294">
        <v>30328731200</v>
      </c>
      <c r="F16" s="105" t="s">
        <v>54</v>
      </c>
      <c r="G16" s="312" t="s">
        <v>23</v>
      </c>
    </row>
    <row r="17" spans="2:7" ht="73" thickBot="1" x14ac:dyDescent="0.4">
      <c r="B17" s="298"/>
      <c r="C17" s="319"/>
      <c r="D17" s="320" t="s">
        <v>79</v>
      </c>
      <c r="E17" s="299"/>
      <c r="F17" s="106" t="s">
        <v>56</v>
      </c>
      <c r="G17" s="321" t="s">
        <v>26</v>
      </c>
    </row>
    <row r="18" spans="2:7" ht="15" thickBot="1" x14ac:dyDescent="0.4">
      <c r="B18" s="327" t="s">
        <v>114</v>
      </c>
      <c r="C18" s="328"/>
      <c r="D18" s="328"/>
      <c r="E18" s="324">
        <v>343801056200</v>
      </c>
      <c r="F18" s="325"/>
      <c r="G18" s="326"/>
    </row>
    <row r="19" spans="2:7" x14ac:dyDescent="0.35">
      <c r="E19" s="322"/>
    </row>
    <row r="20" spans="2:7" ht="30" customHeight="1" x14ac:dyDescent="0.35"/>
    <row r="40" ht="27.65" customHeight="1" x14ac:dyDescent="0.35"/>
  </sheetData>
  <mergeCells count="13">
    <mergeCell ref="B18:D18"/>
    <mergeCell ref="B16:B17"/>
    <mergeCell ref="C16:C17"/>
    <mergeCell ref="E16:E17"/>
    <mergeCell ref="E9:E10"/>
    <mergeCell ref="E6:E7"/>
    <mergeCell ref="G6:G7"/>
    <mergeCell ref="B9:B10"/>
    <mergeCell ref="C9:C10"/>
    <mergeCell ref="D9:D10"/>
    <mergeCell ref="B3:G3"/>
    <mergeCell ref="B6:B7"/>
    <mergeCell ref="C6:C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2CD780-5CE2-4821-A0CD-7646DDC029E9}">
  <dimension ref="A1:C37"/>
  <sheetViews>
    <sheetView topLeftCell="A4" workbookViewId="0">
      <selection activeCell="A4" sqref="A4"/>
    </sheetView>
  </sheetViews>
  <sheetFormatPr baseColWidth="10" defaultColWidth="11.453125" defaultRowHeight="14.5" x14ac:dyDescent="0.35"/>
  <cols>
    <col min="1" max="1" width="34" bestFit="1" customWidth="1"/>
    <col min="2" max="2" width="31" customWidth="1"/>
    <col min="3" max="3" width="27" bestFit="1" customWidth="1"/>
  </cols>
  <sheetData>
    <row r="1" spans="1:2" hidden="1" x14ac:dyDescent="0.35"/>
    <row r="2" spans="1:2" hidden="1" x14ac:dyDescent="0.35">
      <c r="A2" s="197">
        <v>2026</v>
      </c>
      <c r="B2" s="198"/>
    </row>
    <row r="3" spans="1:2" hidden="1" x14ac:dyDescent="0.35">
      <c r="A3" s="199" t="s">
        <v>91</v>
      </c>
      <c r="B3" s="200"/>
    </row>
    <row r="5" spans="1:2" ht="30.75" customHeight="1" x14ac:dyDescent="0.35">
      <c r="A5" s="201" t="s">
        <v>92</v>
      </c>
      <c r="B5" s="202"/>
    </row>
    <row r="6" spans="1:2" ht="15" customHeight="1" x14ac:dyDescent="0.35">
      <c r="A6" s="5"/>
      <c r="B6" s="5"/>
    </row>
    <row r="7" spans="1:2" x14ac:dyDescent="0.35">
      <c r="A7" s="150" t="s">
        <v>110</v>
      </c>
      <c r="B7" s="151">
        <v>2202225000252</v>
      </c>
    </row>
    <row r="8" spans="1:2" x14ac:dyDescent="0.35">
      <c r="A8" s="203" t="s">
        <v>94</v>
      </c>
      <c r="B8" s="204"/>
    </row>
    <row r="9" spans="1:2" x14ac:dyDescent="0.35">
      <c r="A9" s="150" t="s">
        <v>95</v>
      </c>
      <c r="B9" s="150"/>
    </row>
    <row r="10" spans="1:2" x14ac:dyDescent="0.35">
      <c r="A10" s="152" t="s">
        <v>95</v>
      </c>
      <c r="B10" s="153">
        <v>46096</v>
      </c>
    </row>
    <row r="11" spans="1:2" x14ac:dyDescent="0.35">
      <c r="A11" s="152" t="s">
        <v>96</v>
      </c>
      <c r="B11" s="154">
        <v>46234</v>
      </c>
    </row>
    <row r="12" spans="1:2" x14ac:dyDescent="0.35">
      <c r="A12" s="152" t="s">
        <v>97</v>
      </c>
      <c r="B12" s="155">
        <f>+B11-B10+1</f>
        <v>139</v>
      </c>
    </row>
    <row r="13" spans="1:2" x14ac:dyDescent="0.35">
      <c r="A13" s="150" t="s">
        <v>98</v>
      </c>
      <c r="B13" s="150" t="s">
        <v>99</v>
      </c>
    </row>
    <row r="14" spans="1:2" ht="15.5" x14ac:dyDescent="0.35">
      <c r="A14" s="156" t="s">
        <v>100</v>
      </c>
      <c r="B14" s="157">
        <v>343801056200</v>
      </c>
    </row>
    <row r="15" spans="1:2" x14ac:dyDescent="0.35">
      <c r="A15" s="203" t="s">
        <v>101</v>
      </c>
      <c r="B15" s="204"/>
    </row>
    <row r="16" spans="1:2" ht="15.5" x14ac:dyDescent="0.35">
      <c r="A16" s="158" t="s">
        <v>102</v>
      </c>
      <c r="B16" s="159">
        <v>343801056200</v>
      </c>
    </row>
    <row r="17" spans="1:3" ht="15.5" x14ac:dyDescent="0.35">
      <c r="A17" s="158" t="s">
        <v>103</v>
      </c>
      <c r="B17" s="160">
        <v>4.9740972431338397</v>
      </c>
    </row>
    <row r="18" spans="1:3" ht="15.5" x14ac:dyDescent="0.35">
      <c r="A18" s="158" t="s">
        <v>104</v>
      </c>
      <c r="B18" s="161">
        <f>+(B16*B17/1000)/365*B12</f>
        <v>651243518.16574848</v>
      </c>
      <c r="C18" s="1"/>
    </row>
    <row r="19" spans="1:3" ht="15.5" x14ac:dyDescent="0.35">
      <c r="A19" s="158" t="s">
        <v>105</v>
      </c>
      <c r="B19" s="161">
        <f>+B18*19%</f>
        <v>123736268.45149221</v>
      </c>
      <c r="C19" s="1"/>
    </row>
    <row r="20" spans="1:3" x14ac:dyDescent="0.35">
      <c r="A20" s="150" t="s">
        <v>106</v>
      </c>
      <c r="B20" s="162">
        <f>(B18+B19)</f>
        <v>774979786.61724067</v>
      </c>
      <c r="C20" s="1"/>
    </row>
    <row r="21" spans="1:3" x14ac:dyDescent="0.35">
      <c r="A21" s="163">
        <f>+ROUND(B20,0)</f>
        <v>774979787</v>
      </c>
      <c r="B21" s="5"/>
      <c r="C21" s="1"/>
    </row>
    <row r="22" spans="1:3" x14ac:dyDescent="0.35">
      <c r="A22" s="203" t="s">
        <v>107</v>
      </c>
      <c r="B22" s="204"/>
      <c r="C22" s="2"/>
    </row>
    <row r="23" spans="1:3" ht="15.5" x14ac:dyDescent="0.35">
      <c r="A23" s="158" t="s">
        <v>102</v>
      </c>
      <c r="B23" s="188">
        <v>343801056200</v>
      </c>
      <c r="C23" s="189"/>
    </row>
    <row r="24" spans="1:3" ht="15.5" x14ac:dyDescent="0.35">
      <c r="A24" s="158" t="s">
        <v>103</v>
      </c>
      <c r="B24" s="160">
        <f>+B17</f>
        <v>4.9740972431338397</v>
      </c>
    </row>
    <row r="25" spans="1:3" ht="15.5" x14ac:dyDescent="0.35">
      <c r="A25" s="158" t="s">
        <v>104</v>
      </c>
      <c r="B25" s="161">
        <f>ROUND((B23*B24/1000)/365*B12,0)</f>
        <v>651243518</v>
      </c>
      <c r="C25" s="2"/>
    </row>
    <row r="26" spans="1:3" ht="15.5" x14ac:dyDescent="0.35">
      <c r="A26" s="158" t="s">
        <v>105</v>
      </c>
      <c r="B26" s="161">
        <f>+ROUND(B25*19%,0)</f>
        <v>123736268</v>
      </c>
    </row>
    <row r="27" spans="1:3" x14ac:dyDescent="0.35">
      <c r="A27" s="150" t="s">
        <v>106</v>
      </c>
      <c r="B27" s="162">
        <f>+B25+B26</f>
        <v>774979786</v>
      </c>
    </row>
    <row r="28" spans="1:3" ht="14.5" customHeight="1" x14ac:dyDescent="0.35">
      <c r="A28" s="266" t="s">
        <v>112</v>
      </c>
      <c r="B28" s="191"/>
    </row>
    <row r="29" spans="1:3" ht="14.5" customHeight="1" x14ac:dyDescent="0.35">
      <c r="A29" s="192"/>
      <c r="B29" s="193"/>
    </row>
    <row r="30" spans="1:3" ht="14.5" customHeight="1" x14ac:dyDescent="0.35">
      <c r="A30" s="192"/>
      <c r="B30" s="193"/>
    </row>
    <row r="31" spans="1:3" ht="14.5" customHeight="1" x14ac:dyDescent="0.35">
      <c r="A31" s="192"/>
      <c r="B31" s="193"/>
    </row>
    <row r="32" spans="1:3" ht="31.5" customHeight="1" x14ac:dyDescent="0.35">
      <c r="A32" s="194"/>
      <c r="B32" s="195"/>
    </row>
    <row r="33" spans="1:2" ht="14.5" customHeight="1" x14ac:dyDescent="0.35">
      <c r="A33" s="196" t="s">
        <v>108</v>
      </c>
      <c r="B33" s="191"/>
    </row>
    <row r="34" spans="1:2" ht="14.5" customHeight="1" x14ac:dyDescent="0.35">
      <c r="A34" s="192"/>
      <c r="B34" s="193"/>
    </row>
    <row r="35" spans="1:2" ht="14.5" customHeight="1" x14ac:dyDescent="0.35">
      <c r="A35" s="192"/>
      <c r="B35" s="193"/>
    </row>
    <row r="36" spans="1:2" ht="14.5" customHeight="1" x14ac:dyDescent="0.35">
      <c r="A36" s="192"/>
      <c r="B36" s="193"/>
    </row>
    <row r="37" spans="1:2" ht="42" customHeight="1" x14ac:dyDescent="0.35">
      <c r="A37" s="194"/>
      <c r="B37" s="195"/>
    </row>
  </sheetData>
  <mergeCells count="8">
    <mergeCell ref="A28:B32"/>
    <mergeCell ref="A33:B37"/>
    <mergeCell ref="A2:B2"/>
    <mergeCell ref="A3:B3"/>
    <mergeCell ref="A5:B5"/>
    <mergeCell ref="A8:B8"/>
    <mergeCell ref="A15:B15"/>
    <mergeCell ref="A22:B2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61753D-67D7-446D-966E-779950EFD215}">
  <dimension ref="A1:D38"/>
  <sheetViews>
    <sheetView topLeftCell="A26" workbookViewId="0">
      <selection activeCell="A4" sqref="A4"/>
    </sheetView>
  </sheetViews>
  <sheetFormatPr baseColWidth="10" defaultColWidth="11.453125" defaultRowHeight="14.5" x14ac:dyDescent="0.35"/>
  <cols>
    <col min="1" max="1" width="34" bestFit="1" customWidth="1"/>
    <col min="2" max="2" width="31" customWidth="1"/>
    <col min="4" max="4" width="27" bestFit="1" customWidth="1"/>
  </cols>
  <sheetData>
    <row r="1" spans="1:2" hidden="1" x14ac:dyDescent="0.35"/>
    <row r="2" spans="1:2" hidden="1" x14ac:dyDescent="0.35">
      <c r="A2" s="197">
        <v>2026</v>
      </c>
      <c r="B2" s="198"/>
    </row>
    <row r="3" spans="1:2" hidden="1" x14ac:dyDescent="0.35">
      <c r="A3" s="199" t="s">
        <v>91</v>
      </c>
      <c r="B3" s="200"/>
    </row>
    <row r="5" spans="1:2" ht="30.75" customHeight="1" x14ac:dyDescent="0.35">
      <c r="A5" s="201" t="s">
        <v>92</v>
      </c>
      <c r="B5" s="202"/>
    </row>
    <row r="6" spans="1:2" ht="15" customHeight="1" x14ac:dyDescent="0.35">
      <c r="A6" s="5"/>
      <c r="B6" s="5"/>
    </row>
    <row r="7" spans="1:2" x14ac:dyDescent="0.35">
      <c r="A7" s="150" t="s">
        <v>93</v>
      </c>
      <c r="B7" s="151">
        <v>2202223000658</v>
      </c>
    </row>
    <row r="8" spans="1:2" x14ac:dyDescent="0.35">
      <c r="A8" s="203" t="s">
        <v>94</v>
      </c>
      <c r="B8" s="204"/>
    </row>
    <row r="9" spans="1:2" x14ac:dyDescent="0.35">
      <c r="A9" s="150" t="s">
        <v>95</v>
      </c>
      <c r="B9" s="150"/>
    </row>
    <row r="10" spans="1:2" x14ac:dyDescent="0.35">
      <c r="A10" s="152" t="s">
        <v>95</v>
      </c>
      <c r="B10" s="153">
        <v>46096</v>
      </c>
    </row>
    <row r="11" spans="1:2" x14ac:dyDescent="0.35">
      <c r="A11" s="152" t="s">
        <v>96</v>
      </c>
      <c r="B11" s="154">
        <v>46234</v>
      </c>
    </row>
    <row r="12" spans="1:2" x14ac:dyDescent="0.35">
      <c r="A12" s="152" t="s">
        <v>97</v>
      </c>
      <c r="B12" s="155">
        <f>+B11-B10+1</f>
        <v>139</v>
      </c>
    </row>
    <row r="13" spans="1:2" x14ac:dyDescent="0.35">
      <c r="A13" s="150" t="s">
        <v>98</v>
      </c>
      <c r="B13" s="150" t="s">
        <v>99</v>
      </c>
    </row>
    <row r="14" spans="1:2" ht="15.5" x14ac:dyDescent="0.35">
      <c r="A14" s="186" t="s">
        <v>109</v>
      </c>
      <c r="B14" s="157">
        <f>'Listado de bienes'!AE16</f>
        <v>1660000000</v>
      </c>
    </row>
    <row r="15" spans="1:2" x14ac:dyDescent="0.35">
      <c r="A15" s="5"/>
      <c r="B15" s="6"/>
    </row>
    <row r="16" spans="1:2" x14ac:dyDescent="0.35">
      <c r="A16" s="203" t="s">
        <v>101</v>
      </c>
      <c r="B16" s="204"/>
    </row>
    <row r="17" spans="1:4" ht="15.5" x14ac:dyDescent="0.35">
      <c r="A17" s="158" t="s">
        <v>102</v>
      </c>
      <c r="B17" s="159">
        <v>1660000000</v>
      </c>
    </row>
    <row r="18" spans="1:4" ht="15.5" x14ac:dyDescent="0.35">
      <c r="A18" s="158" t="s">
        <v>103</v>
      </c>
      <c r="B18" s="160">
        <v>5.104358248577574</v>
      </c>
    </row>
    <row r="19" spans="1:4" ht="15.5" x14ac:dyDescent="0.35">
      <c r="A19" s="158" t="s">
        <v>104</v>
      </c>
      <c r="B19" s="161">
        <f>+(B17*B18/1000)/365*B12</f>
        <v>3226793.4856898342</v>
      </c>
      <c r="D19" s="1"/>
    </row>
    <row r="20" spans="1:4" ht="15.5" x14ac:dyDescent="0.35">
      <c r="A20" s="158" t="s">
        <v>105</v>
      </c>
      <c r="B20" s="161">
        <f>+B19*19%</f>
        <v>613090.76228106848</v>
      </c>
      <c r="D20" s="1"/>
    </row>
    <row r="21" spans="1:4" x14ac:dyDescent="0.35">
      <c r="A21" s="150" t="s">
        <v>106</v>
      </c>
      <c r="B21" s="162">
        <f>(B19+B20)</f>
        <v>3839884.2479709028</v>
      </c>
      <c r="D21" s="1"/>
    </row>
    <row r="22" spans="1:4" x14ac:dyDescent="0.35">
      <c r="A22" s="163">
        <f>+ROUND(B21,0)</f>
        <v>3839884</v>
      </c>
      <c r="B22" s="5"/>
      <c r="D22" s="1"/>
    </row>
    <row r="23" spans="1:4" x14ac:dyDescent="0.35">
      <c r="A23" s="203" t="s">
        <v>107</v>
      </c>
      <c r="B23" s="204"/>
      <c r="D23" s="2"/>
    </row>
    <row r="24" spans="1:4" ht="15.5" x14ac:dyDescent="0.35">
      <c r="A24" s="158" t="s">
        <v>102</v>
      </c>
      <c r="B24" s="164">
        <v>1660000000</v>
      </c>
      <c r="D24" s="1"/>
    </row>
    <row r="25" spans="1:4" ht="15.5" x14ac:dyDescent="0.35">
      <c r="A25" s="158" t="s">
        <v>103</v>
      </c>
      <c r="B25" s="165">
        <v>5.104358248577574</v>
      </c>
    </row>
    <row r="26" spans="1:4" ht="15.5" x14ac:dyDescent="0.35">
      <c r="A26" s="158" t="s">
        <v>104</v>
      </c>
      <c r="B26" s="161">
        <f>ROUND((B24*B25/1000)/365*B12,0)</f>
        <v>3226793</v>
      </c>
      <c r="D26" s="2"/>
    </row>
    <row r="27" spans="1:4" ht="15.5" x14ac:dyDescent="0.35">
      <c r="A27" s="158" t="s">
        <v>105</v>
      </c>
      <c r="B27" s="161">
        <f>+ROUND(B26*19%,0)</f>
        <v>613091</v>
      </c>
    </row>
    <row r="28" spans="1:4" x14ac:dyDescent="0.35">
      <c r="A28" s="150" t="s">
        <v>106</v>
      </c>
      <c r="B28" s="162">
        <f>+B26+B27</f>
        <v>3839884</v>
      </c>
    </row>
    <row r="29" spans="1:4" ht="14.5" customHeight="1" x14ac:dyDescent="0.35">
      <c r="A29" s="190" t="s">
        <v>113</v>
      </c>
      <c r="B29" s="191"/>
    </row>
    <row r="30" spans="1:4" ht="14.5" customHeight="1" x14ac:dyDescent="0.35">
      <c r="A30" s="192"/>
      <c r="B30" s="193"/>
    </row>
    <row r="31" spans="1:4" ht="14.5" customHeight="1" x14ac:dyDescent="0.35">
      <c r="A31" s="192"/>
      <c r="B31" s="193"/>
    </row>
    <row r="32" spans="1:4" ht="14.5" customHeight="1" x14ac:dyDescent="0.35">
      <c r="A32" s="192"/>
      <c r="B32" s="193"/>
    </row>
    <row r="33" spans="1:2" ht="31.5" customHeight="1" x14ac:dyDescent="0.35">
      <c r="A33" s="194"/>
      <c r="B33" s="195"/>
    </row>
    <row r="34" spans="1:2" ht="14.5" customHeight="1" x14ac:dyDescent="0.35">
      <c r="A34" s="196" t="s">
        <v>108</v>
      </c>
      <c r="B34" s="191"/>
    </row>
    <row r="35" spans="1:2" ht="14.5" customHeight="1" x14ac:dyDescent="0.35">
      <c r="A35" s="192"/>
      <c r="B35" s="193"/>
    </row>
    <row r="36" spans="1:2" ht="14.5" customHeight="1" x14ac:dyDescent="0.35">
      <c r="A36" s="192"/>
      <c r="B36" s="193"/>
    </row>
    <row r="37" spans="1:2" ht="14.5" customHeight="1" x14ac:dyDescent="0.35">
      <c r="A37" s="192"/>
      <c r="B37" s="193"/>
    </row>
    <row r="38" spans="1:2" ht="42" customHeight="1" x14ac:dyDescent="0.35">
      <c r="A38" s="194"/>
      <c r="B38" s="195"/>
    </row>
  </sheetData>
  <mergeCells count="8">
    <mergeCell ref="A29:B33"/>
    <mergeCell ref="A34:B38"/>
    <mergeCell ref="A2:B2"/>
    <mergeCell ref="A3:B3"/>
    <mergeCell ref="A5:B5"/>
    <mergeCell ref="A8:B8"/>
    <mergeCell ref="A16:B16"/>
    <mergeCell ref="A23:B2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EA36A-AA22-42DB-9462-D55B209529F1}">
  <dimension ref="B2:H16"/>
  <sheetViews>
    <sheetView topLeftCell="B1" workbookViewId="0">
      <selection activeCell="F10" sqref="F10:F11"/>
    </sheetView>
  </sheetViews>
  <sheetFormatPr baseColWidth="10" defaultColWidth="11.453125" defaultRowHeight="14.5" x14ac:dyDescent="0.35"/>
  <cols>
    <col min="3" max="3" width="3" bestFit="1" customWidth="1"/>
    <col min="4" max="5" width="15.453125" bestFit="1" customWidth="1"/>
    <col min="6" max="6" width="14.453125" bestFit="1" customWidth="1"/>
    <col min="7" max="8" width="15.453125" bestFit="1" customWidth="1"/>
  </cols>
  <sheetData>
    <row r="2" spans="2:8" x14ac:dyDescent="0.35">
      <c r="D2" s="4">
        <v>2023</v>
      </c>
      <c r="E2">
        <v>2024</v>
      </c>
      <c r="F2">
        <v>22025</v>
      </c>
    </row>
    <row r="3" spans="2:8" x14ac:dyDescent="0.35">
      <c r="B3" t="s">
        <v>66</v>
      </c>
      <c r="C3">
        <v>1</v>
      </c>
      <c r="D3" s="1">
        <f>16346153</f>
        <v>16346153</v>
      </c>
    </row>
    <row r="4" spans="2:8" x14ac:dyDescent="0.35">
      <c r="C4">
        <v>2</v>
      </c>
      <c r="D4" s="1">
        <v>852873.93</v>
      </c>
    </row>
    <row r="5" spans="2:8" x14ac:dyDescent="0.35">
      <c r="C5">
        <v>3</v>
      </c>
      <c r="D5" s="1">
        <v>610672.59</v>
      </c>
    </row>
    <row r="6" spans="2:8" x14ac:dyDescent="0.35">
      <c r="C6">
        <v>4</v>
      </c>
      <c r="D6" s="1">
        <v>209581.99</v>
      </c>
    </row>
    <row r="7" spans="2:8" x14ac:dyDescent="0.35">
      <c r="C7">
        <v>5</v>
      </c>
      <c r="D7" s="1">
        <v>38102.949999999997</v>
      </c>
    </row>
    <row r="8" spans="2:8" x14ac:dyDescent="0.35">
      <c r="C8">
        <v>6</v>
      </c>
      <c r="D8" s="1">
        <v>2658.2</v>
      </c>
    </row>
    <row r="9" spans="2:8" x14ac:dyDescent="0.35">
      <c r="C9">
        <v>7</v>
      </c>
      <c r="E9" s="1">
        <v>40696274</v>
      </c>
    </row>
    <row r="10" spans="2:8" x14ac:dyDescent="0.35">
      <c r="C10">
        <v>8</v>
      </c>
      <c r="F10" s="1">
        <v>6423333.9500000002</v>
      </c>
    </row>
    <row r="11" spans="2:8" x14ac:dyDescent="0.35">
      <c r="C11">
        <v>9</v>
      </c>
      <c r="F11" s="1">
        <v>420349.39</v>
      </c>
    </row>
    <row r="12" spans="2:8" x14ac:dyDescent="0.35">
      <c r="C12">
        <v>10</v>
      </c>
      <c r="G12" s="1">
        <v>18839128</v>
      </c>
    </row>
    <row r="16" spans="2:8" x14ac:dyDescent="0.35">
      <c r="D16" s="2">
        <f>SUM(D3:D12)</f>
        <v>18060042.659999996</v>
      </c>
      <c r="E16" s="2">
        <f t="shared" ref="E16:G16" si="0">SUM(E3:E12)</f>
        <v>40696274</v>
      </c>
      <c r="F16" s="2">
        <f t="shared" si="0"/>
        <v>6843683.3399999999</v>
      </c>
      <c r="G16" s="2">
        <f t="shared" si="0"/>
        <v>18839128</v>
      </c>
      <c r="H16" s="2">
        <f>SUM(D16:G16)</f>
        <v>84439128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7A07F-C30E-4EF1-B78A-E3C97A8A947D}">
  <dimension ref="B2:W21"/>
  <sheetViews>
    <sheetView topLeftCell="F1" zoomScale="70" zoomScaleNormal="70" workbookViewId="0">
      <selection activeCell="V18" sqref="V18:V20"/>
    </sheetView>
  </sheetViews>
  <sheetFormatPr baseColWidth="10" defaultColWidth="8.81640625" defaultRowHeight="14.5" x14ac:dyDescent="0.35"/>
  <cols>
    <col min="2" max="2" width="26.453125" bestFit="1" customWidth="1"/>
    <col min="3" max="3" width="6" customWidth="1"/>
    <col min="4" max="4" width="19.453125" style="1" bestFit="1" customWidth="1"/>
    <col min="5" max="5" width="19" customWidth="1"/>
    <col min="6" max="6" width="20" customWidth="1"/>
    <col min="7" max="18" width="18" customWidth="1"/>
    <col min="19" max="19" width="19.54296875" bestFit="1" customWidth="1"/>
    <col min="20" max="20" width="16.453125" hidden="1" customWidth="1"/>
    <col min="21" max="21" width="12.81640625" bestFit="1" customWidth="1"/>
    <col min="22" max="22" width="12.81640625" customWidth="1"/>
    <col min="23" max="23" width="44.453125" bestFit="1" customWidth="1"/>
  </cols>
  <sheetData>
    <row r="2" spans="2:23" ht="15" thickBot="1" x14ac:dyDescent="0.4"/>
    <row r="3" spans="2:23" ht="15" thickBot="1" x14ac:dyDescent="0.4">
      <c r="B3" s="255" t="s">
        <v>0</v>
      </c>
      <c r="C3" s="256"/>
      <c r="D3" s="256"/>
      <c r="E3" s="256"/>
      <c r="F3" s="256"/>
      <c r="G3" s="256"/>
      <c r="H3" s="256"/>
      <c r="I3" s="256"/>
      <c r="J3" s="256"/>
      <c r="K3" s="256"/>
      <c r="L3" s="256"/>
      <c r="M3" s="256"/>
      <c r="N3" s="256"/>
      <c r="O3" s="256"/>
      <c r="P3" s="256"/>
      <c r="Q3" s="256"/>
      <c r="R3" s="256"/>
      <c r="S3" s="256"/>
      <c r="T3" s="256"/>
      <c r="U3" s="256"/>
      <c r="V3" s="256"/>
      <c r="W3" s="258"/>
    </row>
    <row r="4" spans="2:23" ht="15" thickBot="1" x14ac:dyDescent="0.4">
      <c r="B4" s="16" t="s">
        <v>6</v>
      </c>
      <c r="C4" s="16" t="s">
        <v>7</v>
      </c>
      <c r="D4" s="21" t="s">
        <v>8</v>
      </c>
      <c r="E4" s="21" t="s">
        <v>8</v>
      </c>
      <c r="F4" s="21" t="s">
        <v>8</v>
      </c>
      <c r="G4" s="21" t="s">
        <v>8</v>
      </c>
      <c r="H4" s="21" t="s">
        <v>8</v>
      </c>
      <c r="I4" s="21" t="s">
        <v>8</v>
      </c>
      <c r="J4" s="21" t="s">
        <v>8</v>
      </c>
      <c r="K4" s="21" t="s">
        <v>8</v>
      </c>
      <c r="L4" s="21" t="s">
        <v>8</v>
      </c>
      <c r="M4" s="21" t="s">
        <v>8</v>
      </c>
      <c r="N4" s="21" t="s">
        <v>8</v>
      </c>
      <c r="O4" s="21" t="s">
        <v>8</v>
      </c>
      <c r="P4" s="21" t="s">
        <v>8</v>
      </c>
      <c r="Q4" s="21" t="s">
        <v>8</v>
      </c>
      <c r="R4" s="21" t="s">
        <v>8</v>
      </c>
      <c r="S4" s="14" t="s">
        <v>9</v>
      </c>
      <c r="T4" s="39" t="s">
        <v>10</v>
      </c>
      <c r="U4" s="14" t="s">
        <v>67</v>
      </c>
      <c r="V4" s="46" t="s">
        <v>15</v>
      </c>
      <c r="W4" s="15" t="s">
        <v>16</v>
      </c>
    </row>
    <row r="5" spans="2:23" x14ac:dyDescent="0.35">
      <c r="B5" s="17" t="s">
        <v>19</v>
      </c>
      <c r="C5" s="22">
        <v>1</v>
      </c>
      <c r="D5" s="28">
        <v>4150000000</v>
      </c>
      <c r="E5" s="29">
        <v>4150000000</v>
      </c>
      <c r="F5" s="29">
        <v>4150000000</v>
      </c>
      <c r="G5" s="29">
        <v>4150000000</v>
      </c>
      <c r="H5" s="29">
        <v>4150000000</v>
      </c>
      <c r="I5" s="29">
        <v>4150000000</v>
      </c>
      <c r="J5" s="29">
        <v>4150000000</v>
      </c>
      <c r="K5" s="29">
        <v>4150000000</v>
      </c>
      <c r="L5" s="29">
        <v>4150000000</v>
      </c>
      <c r="M5" s="29">
        <v>4150000000</v>
      </c>
      <c r="N5" s="29">
        <v>4150000000</v>
      </c>
      <c r="O5" s="29">
        <v>4150000000</v>
      </c>
      <c r="P5" s="29">
        <v>4150000000</v>
      </c>
      <c r="Q5" s="29">
        <v>4150000000</v>
      </c>
      <c r="R5" s="30">
        <v>3842900000</v>
      </c>
      <c r="S5" s="26">
        <f>SUM(D5:R5)</f>
        <v>61942900000</v>
      </c>
      <c r="T5" s="40">
        <f t="shared" ref="T5:T14" si="0">S5/4150</f>
        <v>14926000</v>
      </c>
      <c r="U5" s="11">
        <f>T5</f>
        <v>14926000</v>
      </c>
      <c r="V5" s="58">
        <v>1242730</v>
      </c>
      <c r="W5" s="12" t="s">
        <v>20</v>
      </c>
    </row>
    <row r="6" spans="2:23" x14ac:dyDescent="0.35">
      <c r="B6" s="273" t="s">
        <v>22</v>
      </c>
      <c r="C6" s="274">
        <v>2</v>
      </c>
      <c r="D6" s="31">
        <v>1369500000</v>
      </c>
      <c r="E6" s="5"/>
      <c r="F6" s="5"/>
      <c r="G6" s="5"/>
      <c r="H6" s="5"/>
      <c r="I6" s="5"/>
      <c r="J6" s="5"/>
      <c r="K6" s="5"/>
      <c r="L6" s="5"/>
      <c r="M6" s="5"/>
      <c r="N6" s="5"/>
      <c r="O6" s="5"/>
      <c r="P6" s="5"/>
      <c r="Q6" s="5"/>
      <c r="R6" s="32"/>
      <c r="S6" s="27">
        <f t="shared" ref="S6:S9" si="1">SUM(D6:R6)</f>
        <v>1369500000</v>
      </c>
      <c r="T6" s="40">
        <f t="shared" si="0"/>
        <v>330000</v>
      </c>
      <c r="U6" s="276">
        <f>T6+T7</f>
        <v>500000</v>
      </c>
      <c r="V6" s="50">
        <v>1240149</v>
      </c>
      <c r="W6" s="278" t="s">
        <v>23</v>
      </c>
    </row>
    <row r="7" spans="2:23" x14ac:dyDescent="0.35">
      <c r="B7" s="273"/>
      <c r="C7" s="275"/>
      <c r="D7" s="31">
        <v>705500000</v>
      </c>
      <c r="E7" s="5"/>
      <c r="F7" s="5"/>
      <c r="G7" s="5"/>
      <c r="H7" s="5"/>
      <c r="I7" s="5"/>
      <c r="J7" s="5"/>
      <c r="K7" s="5"/>
      <c r="L7" s="5"/>
      <c r="M7" s="5"/>
      <c r="N7" s="5"/>
      <c r="O7" s="5"/>
      <c r="P7" s="5"/>
      <c r="Q7" s="5"/>
      <c r="R7" s="32"/>
      <c r="S7" s="27">
        <f t="shared" si="1"/>
        <v>705500000</v>
      </c>
      <c r="T7" s="40">
        <f t="shared" si="0"/>
        <v>170000</v>
      </c>
      <c r="U7" s="277"/>
      <c r="V7" s="50">
        <v>1234702</v>
      </c>
      <c r="W7" s="278"/>
    </row>
    <row r="8" spans="2:23" ht="29" x14ac:dyDescent="0.35">
      <c r="B8" s="18" t="s">
        <v>25</v>
      </c>
      <c r="C8" s="23">
        <v>1</v>
      </c>
      <c r="D8" s="54">
        <v>4150</v>
      </c>
      <c r="E8" s="33">
        <f>9540850000-D8</f>
        <v>9540845850</v>
      </c>
      <c r="F8" s="5"/>
      <c r="G8" s="5"/>
      <c r="H8" s="5"/>
      <c r="I8" s="5"/>
      <c r="J8" s="5"/>
      <c r="K8" s="5"/>
      <c r="L8" s="5"/>
      <c r="M8" s="5"/>
      <c r="N8" s="5"/>
      <c r="O8" s="5"/>
      <c r="P8" s="5"/>
      <c r="Q8" s="5"/>
      <c r="R8" s="32"/>
      <c r="S8" s="27">
        <f>SUM(E8:R8)</f>
        <v>9540845850</v>
      </c>
      <c r="T8" s="40">
        <f t="shared" si="0"/>
        <v>2298999</v>
      </c>
      <c r="U8" s="10">
        <f>T8</f>
        <v>2298999</v>
      </c>
      <c r="V8" s="50">
        <v>1242956</v>
      </c>
      <c r="W8" s="43" t="s">
        <v>68</v>
      </c>
    </row>
    <row r="9" spans="2:23" x14ac:dyDescent="0.35">
      <c r="B9" s="279" t="s">
        <v>28</v>
      </c>
      <c r="C9" s="274">
        <v>1</v>
      </c>
      <c r="D9" s="31">
        <v>60112750000</v>
      </c>
      <c r="E9" s="5"/>
      <c r="F9" s="5"/>
      <c r="G9" s="5"/>
      <c r="H9" s="5"/>
      <c r="I9" s="5"/>
      <c r="J9" s="5"/>
      <c r="K9" s="5"/>
      <c r="L9" s="5"/>
      <c r="M9" s="5"/>
      <c r="N9" s="5"/>
      <c r="O9" s="5"/>
      <c r="P9" s="5"/>
      <c r="Q9" s="5"/>
      <c r="R9" s="32"/>
      <c r="S9" s="27">
        <f t="shared" si="1"/>
        <v>60112750000</v>
      </c>
      <c r="T9" s="40">
        <f t="shared" si="0"/>
        <v>14485000</v>
      </c>
      <c r="U9" s="281">
        <f>T9+T10</f>
        <v>28970000</v>
      </c>
      <c r="V9" s="48"/>
      <c r="W9" s="5" t="s">
        <v>29</v>
      </c>
    </row>
    <row r="10" spans="2:23" x14ac:dyDescent="0.35">
      <c r="B10" s="280"/>
      <c r="C10" s="275"/>
      <c r="D10" s="31">
        <v>60112750000</v>
      </c>
      <c r="E10" s="5"/>
      <c r="F10" s="5"/>
      <c r="G10" s="5"/>
      <c r="H10" s="5"/>
      <c r="I10" s="5"/>
      <c r="J10" s="5"/>
      <c r="K10" s="5"/>
      <c r="L10" s="5"/>
      <c r="M10" s="5"/>
      <c r="N10" s="5"/>
      <c r="O10" s="5"/>
      <c r="P10" s="5"/>
      <c r="Q10" s="5"/>
      <c r="R10" s="32"/>
      <c r="S10" s="27">
        <f>SUM(D10:R10)</f>
        <v>60112750000</v>
      </c>
      <c r="T10" s="40">
        <f t="shared" si="0"/>
        <v>14485000</v>
      </c>
      <c r="U10" s="282"/>
      <c r="V10" s="49"/>
      <c r="W10" s="5" t="s">
        <v>31</v>
      </c>
    </row>
    <row r="11" spans="2:23" x14ac:dyDescent="0.35">
      <c r="B11" s="19" t="s">
        <v>69</v>
      </c>
      <c r="C11" s="24">
        <v>1</v>
      </c>
      <c r="D11" s="31">
        <v>4150000000</v>
      </c>
      <c r="E11" s="6">
        <v>4150000000</v>
      </c>
      <c r="F11" s="6">
        <v>4150000000</v>
      </c>
      <c r="G11" s="6">
        <v>4150000000</v>
      </c>
      <c r="H11" s="6">
        <v>4150000000</v>
      </c>
      <c r="I11" s="6">
        <v>4150000000</v>
      </c>
      <c r="J11" s="6">
        <v>4150000000</v>
      </c>
      <c r="K11" s="6">
        <v>4150000000</v>
      </c>
      <c r="L11" s="6">
        <v>4150000000</v>
      </c>
      <c r="M11" s="6">
        <v>4150000000</v>
      </c>
      <c r="N11" s="6">
        <v>4150000000</v>
      </c>
      <c r="O11" s="6">
        <v>4150000000</v>
      </c>
      <c r="P11" s="6">
        <v>4150000000</v>
      </c>
      <c r="Q11" s="6">
        <v>4150000000</v>
      </c>
      <c r="R11" s="34">
        <v>99600000</v>
      </c>
      <c r="S11" s="27">
        <f>SUM(D11:R11)</f>
        <v>58199600000</v>
      </c>
      <c r="T11" s="40">
        <f t="shared" si="0"/>
        <v>14024000</v>
      </c>
      <c r="U11" s="10">
        <f t="shared" ref="U11:U18" si="2">T11</f>
        <v>14024000</v>
      </c>
      <c r="V11" s="47"/>
      <c r="W11" s="5" t="s">
        <v>35</v>
      </c>
    </row>
    <row r="12" spans="2:23" x14ac:dyDescent="0.35">
      <c r="B12" s="19" t="s">
        <v>70</v>
      </c>
      <c r="C12" s="24">
        <v>1</v>
      </c>
      <c r="D12" s="31">
        <v>4150000000</v>
      </c>
      <c r="E12" s="6">
        <v>4150000000</v>
      </c>
      <c r="F12" s="6">
        <v>4150000000</v>
      </c>
      <c r="G12" s="6">
        <v>4150000000</v>
      </c>
      <c r="H12" s="6">
        <v>4150000000</v>
      </c>
      <c r="I12" s="6">
        <v>4150000000</v>
      </c>
      <c r="J12" s="6">
        <v>4150000000</v>
      </c>
      <c r="K12" s="6">
        <v>4150000000</v>
      </c>
      <c r="L12" s="6">
        <v>4150000000</v>
      </c>
      <c r="M12" s="6">
        <v>4150000000</v>
      </c>
      <c r="N12" s="6">
        <v>4150000000</v>
      </c>
      <c r="O12" s="6">
        <v>4150000000</v>
      </c>
      <c r="P12" s="6">
        <v>4150000000</v>
      </c>
      <c r="Q12" s="6">
        <v>4150000000</v>
      </c>
      <c r="R12" s="34">
        <v>99600000</v>
      </c>
      <c r="S12" s="27">
        <f>SUM(D12:R12)</f>
        <v>58199600000</v>
      </c>
      <c r="T12" s="40">
        <f t="shared" si="0"/>
        <v>14024000</v>
      </c>
      <c r="U12" s="10">
        <f t="shared" si="2"/>
        <v>14024000</v>
      </c>
      <c r="V12" s="47"/>
      <c r="W12" s="5" t="s">
        <v>39</v>
      </c>
    </row>
    <row r="13" spans="2:23" x14ac:dyDescent="0.35">
      <c r="B13" s="19" t="s">
        <v>41</v>
      </c>
      <c r="C13" s="24">
        <v>2</v>
      </c>
      <c r="D13" s="31">
        <v>124500000</v>
      </c>
      <c r="E13" s="6">
        <v>124500000</v>
      </c>
      <c r="F13" s="9"/>
      <c r="G13" s="5"/>
      <c r="H13" s="5"/>
      <c r="I13" s="5"/>
      <c r="J13" s="5"/>
      <c r="K13" s="5"/>
      <c r="L13" s="5"/>
      <c r="M13" s="5"/>
      <c r="N13" s="5"/>
      <c r="O13" s="5"/>
      <c r="P13" s="5"/>
      <c r="Q13" s="5"/>
      <c r="R13" s="32"/>
      <c r="S13" s="27">
        <f>SUM(D13:R13)</f>
        <v>249000000</v>
      </c>
      <c r="T13" s="41">
        <f t="shared" si="0"/>
        <v>60000</v>
      </c>
      <c r="U13" s="10">
        <f t="shared" si="2"/>
        <v>60000</v>
      </c>
      <c r="V13" s="50">
        <v>1242734</v>
      </c>
      <c r="W13" s="5" t="s">
        <v>20</v>
      </c>
    </row>
    <row r="14" spans="2:23" x14ac:dyDescent="0.35">
      <c r="B14" s="19" t="s">
        <v>43</v>
      </c>
      <c r="C14" s="24">
        <v>6</v>
      </c>
      <c r="D14" s="31">
        <v>1294800000</v>
      </c>
      <c r="E14" s="5"/>
      <c r="F14" s="5"/>
      <c r="G14" s="5"/>
      <c r="H14" s="5"/>
      <c r="I14" s="5"/>
      <c r="J14" s="5"/>
      <c r="K14" s="5"/>
      <c r="L14" s="5"/>
      <c r="M14" s="5"/>
      <c r="N14" s="5"/>
      <c r="O14" s="5"/>
      <c r="P14" s="5"/>
      <c r="Q14" s="5"/>
      <c r="R14" s="32"/>
      <c r="S14" s="27">
        <f>SUM(D14:R14)</f>
        <v>1294800000</v>
      </c>
      <c r="T14" s="41">
        <f t="shared" si="0"/>
        <v>312000</v>
      </c>
      <c r="U14" s="10">
        <f t="shared" si="2"/>
        <v>312000</v>
      </c>
      <c r="V14" s="47"/>
      <c r="W14" s="5" t="s">
        <v>44</v>
      </c>
    </row>
    <row r="15" spans="2:23" ht="28.4" customHeight="1" x14ac:dyDescent="0.35">
      <c r="B15" s="19" t="s">
        <v>45</v>
      </c>
      <c r="C15" s="24">
        <v>1</v>
      </c>
      <c r="D15" s="31">
        <v>1745075000</v>
      </c>
      <c r="E15" s="5"/>
      <c r="F15" s="5"/>
      <c r="G15" s="5"/>
      <c r="H15" s="5"/>
      <c r="I15" s="5"/>
      <c r="J15" s="5"/>
      <c r="K15" s="5"/>
      <c r="L15" s="5"/>
      <c r="M15" s="5"/>
      <c r="N15" s="5"/>
      <c r="O15" s="5"/>
      <c r="P15" s="5"/>
      <c r="Q15" s="5"/>
      <c r="R15" s="32"/>
      <c r="S15" s="44">
        <f t="shared" ref="S15:S18" si="3">SUM(D15:R15)</f>
        <v>1745075000</v>
      </c>
      <c r="T15" s="45">
        <f t="shared" ref="T15:T18" si="4">S15/4150</f>
        <v>420500</v>
      </c>
      <c r="U15" s="51">
        <f t="shared" si="2"/>
        <v>420500</v>
      </c>
      <c r="V15" s="52">
        <v>1242737</v>
      </c>
      <c r="W15" s="53" t="s">
        <v>46</v>
      </c>
    </row>
    <row r="16" spans="2:23" x14ac:dyDescent="0.35">
      <c r="B16" s="19" t="s">
        <v>47</v>
      </c>
      <c r="C16" s="24">
        <v>1</v>
      </c>
      <c r="D16" s="31">
        <v>1660000000</v>
      </c>
      <c r="E16" s="5"/>
      <c r="F16" s="5"/>
      <c r="G16" s="5"/>
      <c r="H16" s="5"/>
      <c r="I16" s="5"/>
      <c r="J16" s="5"/>
      <c r="K16" s="5"/>
      <c r="L16" s="5"/>
      <c r="M16" s="5"/>
      <c r="N16" s="5"/>
      <c r="O16" s="5"/>
      <c r="P16" s="5"/>
      <c r="Q16" s="5"/>
      <c r="R16" s="32"/>
      <c r="S16" s="27">
        <f t="shared" si="3"/>
        <v>1660000000</v>
      </c>
      <c r="T16" s="41">
        <f t="shared" si="4"/>
        <v>400000</v>
      </c>
      <c r="U16" s="10">
        <f t="shared" si="2"/>
        <v>400000</v>
      </c>
      <c r="V16" s="47"/>
      <c r="W16" s="5" t="s">
        <v>20</v>
      </c>
    </row>
    <row r="17" spans="2:23" x14ac:dyDescent="0.35">
      <c r="B17" s="19" t="s">
        <v>48</v>
      </c>
      <c r="C17" s="24">
        <v>1</v>
      </c>
      <c r="D17" s="31">
        <v>6930500000</v>
      </c>
      <c r="E17" s="5"/>
      <c r="F17" s="5"/>
      <c r="G17" s="5"/>
      <c r="H17" s="5"/>
      <c r="I17" s="5"/>
      <c r="J17" s="5"/>
      <c r="K17" s="5"/>
      <c r="L17" s="5"/>
      <c r="M17" s="5"/>
      <c r="N17" s="5"/>
      <c r="O17" s="5"/>
      <c r="P17" s="5"/>
      <c r="Q17" s="5"/>
      <c r="R17" s="32"/>
      <c r="S17" s="27">
        <f t="shared" si="3"/>
        <v>6930500000</v>
      </c>
      <c r="T17" s="42">
        <f t="shared" si="4"/>
        <v>1670000</v>
      </c>
      <c r="U17" s="10">
        <f t="shared" si="2"/>
        <v>1670000</v>
      </c>
      <c r="V17" s="47"/>
      <c r="W17" s="5" t="s">
        <v>20</v>
      </c>
    </row>
    <row r="18" spans="2:23" ht="409.6" customHeight="1" thickBot="1" x14ac:dyDescent="0.4">
      <c r="B18" s="20" t="s">
        <v>52</v>
      </c>
      <c r="C18" s="25" t="s">
        <v>53</v>
      </c>
      <c r="D18" s="35">
        <f>21702037514.5+16600-D6-D7</f>
        <v>19627054114.5</v>
      </c>
      <c r="E18" s="55">
        <f>4150*3</f>
        <v>12450</v>
      </c>
      <c r="F18" s="36">
        <f>1478668821+1292792977+7930219437.5</f>
        <v>10701681235.5</v>
      </c>
      <c r="G18" s="37"/>
      <c r="H18" s="37"/>
      <c r="I18" s="37"/>
      <c r="J18" s="37"/>
      <c r="K18" s="37"/>
      <c r="L18" s="37"/>
      <c r="M18" s="37"/>
      <c r="N18" s="37"/>
      <c r="O18" s="37"/>
      <c r="P18" s="37"/>
      <c r="Q18" s="37"/>
      <c r="R18" s="38"/>
      <c r="S18" s="267">
        <f t="shared" si="3"/>
        <v>30328747800</v>
      </c>
      <c r="T18" s="45">
        <f t="shared" si="4"/>
        <v>7308132</v>
      </c>
      <c r="U18" s="269">
        <f t="shared" si="2"/>
        <v>7308132</v>
      </c>
      <c r="V18" s="271" t="s">
        <v>71</v>
      </c>
      <c r="W18" s="43" t="s">
        <v>23</v>
      </c>
    </row>
    <row r="19" spans="2:23" ht="306" customHeight="1" x14ac:dyDescent="0.35">
      <c r="C19" s="3"/>
      <c r="S19" s="268"/>
      <c r="U19" s="270"/>
      <c r="V19" s="272"/>
    </row>
    <row r="20" spans="2:23" ht="247.4" customHeight="1" x14ac:dyDescent="0.35">
      <c r="F20" s="1"/>
      <c r="G20" s="2"/>
      <c r="U20" s="270"/>
      <c r="V20" s="272"/>
    </row>
    <row r="21" spans="2:23" ht="43.5" x14ac:dyDescent="0.35">
      <c r="V21" s="59" t="s">
        <v>56</v>
      </c>
      <c r="W21" s="57" t="s">
        <v>68</v>
      </c>
    </row>
  </sheetData>
  <mergeCells count="11">
    <mergeCell ref="S18:S19"/>
    <mergeCell ref="U18:U20"/>
    <mergeCell ref="V18:V20"/>
    <mergeCell ref="B3:W3"/>
    <mergeCell ref="B6:B7"/>
    <mergeCell ref="C6:C7"/>
    <mergeCell ref="U6:U7"/>
    <mergeCell ref="W6:W7"/>
    <mergeCell ref="B9:B10"/>
    <mergeCell ref="C9:C10"/>
    <mergeCell ref="U9:U10"/>
  </mergeCells>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DCDE4C5B0BC5A4D9A829BDD4E1527E2" ma:contentTypeVersion="18" ma:contentTypeDescription="Create a new document." ma:contentTypeScope="" ma:versionID="e1536736e62ca460803aa8dd9c0b1a87">
  <xsd:schema xmlns:xsd="http://www.w3.org/2001/XMLSchema" xmlns:xs="http://www.w3.org/2001/XMLSchema" xmlns:p="http://schemas.microsoft.com/office/2006/metadata/properties" xmlns:ns1="http://schemas.microsoft.com/sharepoint/v3" xmlns:ns2="645dc1b6-769a-4f64-bf6e-78bb125b7a87" xmlns:ns3="497bc763-a9cc-443e-b578-79652b21b11e" targetNamespace="http://schemas.microsoft.com/office/2006/metadata/properties" ma:root="true" ma:fieldsID="cafe5307bc921f6f51252e796f4688ae" ns1:_="" ns2:_="" ns3:_="">
    <xsd:import namespace="http://schemas.microsoft.com/sharepoint/v3"/>
    <xsd:import namespace="645dc1b6-769a-4f64-bf6e-78bb125b7a87"/>
    <xsd:import namespace="497bc763-a9cc-443e-b578-79652b21b11e"/>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Location" minOccurs="0"/>
                <xsd:element ref="ns2:MediaServiceSearchProperties" minOccurs="0"/>
                <xsd:element ref="ns2:MediaServiceBillingMetadata"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45dc1b6-769a-4f64-bf6e-78bb125b7a8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97bc763-a9cc-443e-b578-79652b21b11e"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1c869480-ae46-47b8-b3c4-53e8bf4412a7}" ma:internalName="TaxCatchAll" ma:showField="CatchAllData" ma:web="497bc763-a9cc-443e-b578-79652b21b11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97bc763-a9cc-443e-b578-79652b21b11e" xsi:nil="true"/>
    <_ip_UnifiedCompliancePolicyUIAction xmlns="http://schemas.microsoft.com/sharepoint/v3" xsi:nil="true"/>
    <lcf76f155ced4ddcb4097134ff3c332f xmlns="645dc1b6-769a-4f64-bf6e-78bb125b7a87">
      <Terms xmlns="http://schemas.microsoft.com/office/infopath/2007/PartnerControls"/>
    </lcf76f155ced4ddcb4097134ff3c332f>
    <_ip_UnifiedCompliancePolicyProperties xmlns="http://schemas.microsoft.com/sharepoint/v3" xsi:nil="true"/>
  </documentManagement>
</p:properties>
</file>

<file path=customXml/itemProps1.xml><?xml version="1.0" encoding="utf-8"?>
<ds:datastoreItem xmlns:ds="http://schemas.openxmlformats.org/officeDocument/2006/customXml" ds:itemID="{A3E2780C-C3CF-446D-8890-344A478742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45dc1b6-769a-4f64-bf6e-78bb125b7a87"/>
    <ds:schemaRef ds:uri="497bc763-a9cc-443e-b578-79652b21b11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B69708-A9FF-47FF-BEFB-169A20489E5C}">
  <ds:schemaRefs>
    <ds:schemaRef ds:uri="http://schemas.microsoft.com/sharepoint/v3/contenttype/forms"/>
  </ds:schemaRefs>
</ds:datastoreItem>
</file>

<file path=customXml/itemProps3.xml><?xml version="1.0" encoding="utf-8"?>
<ds:datastoreItem xmlns:ds="http://schemas.openxmlformats.org/officeDocument/2006/customXml" ds:itemID="{56D687DE-891F-4054-9D95-417E924632DE}">
  <ds:schemaRefs>
    <ds:schemaRef ds:uri="http://schemas.microsoft.com/office/2006/metadata/properties"/>
    <ds:schemaRef ds:uri="http://schemas.microsoft.com/office/infopath/2007/PartnerControls"/>
    <ds:schemaRef ds:uri="497bc763-a9cc-443e-b578-79652b21b11e"/>
    <ds:schemaRef ds:uri="http://schemas.microsoft.com/sharepoint/v3"/>
    <ds:schemaRef ds:uri="645dc1b6-769a-4f64-bf6e-78bb125b7a8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Listado de bienes</vt:lpstr>
      <vt:lpstr>Hoja1</vt:lpstr>
      <vt:lpstr>SIMULADOR TRDM</vt:lpstr>
      <vt:lpstr>SIMULADOR EYM</vt:lpstr>
      <vt:lpstr>Hoja2</vt:lpstr>
      <vt:lpstr>Hoja1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Lorena Herrada</dc:creator>
  <cp:keywords/>
  <dc:description/>
  <cp:lastModifiedBy>Yilson Ramirez Soler</cp:lastModifiedBy>
  <cp:revision/>
  <dcterms:created xsi:type="dcterms:W3CDTF">2015-06-05T18:19:34Z</dcterms:created>
  <dcterms:modified xsi:type="dcterms:W3CDTF">2026-03-11T10:08:22Z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0x010100ADCDE4C5B0BC5A4D9A829BDD4E1527E2</vt:lpwstr>
  </property>
  <property fmtid="{D5CDD505-2E9C-101B-9397-08002B2CF9AE}" pid="3" name="MediaServiceImageTags">
    <vt:lpwstr/>
  </property>
  <property fmtid="{D5CDD505-2E9C-101B-9397-08002B2CF9AE}" pid="4" name="MSIP_Label_38f1469a-2c2a-4aee-b92b-090d4c5468ff_Enabled">
    <vt:lpwstr>true</vt:lpwstr>
  </property>
  <property fmtid="{D5CDD505-2E9C-101B-9397-08002B2CF9AE}" pid="5" name="MSIP_Label_38f1469a-2c2a-4aee-b92b-090d4c5468ff_SetDate">
    <vt:lpwstr>2026-02-06T02:01:16Z</vt:lpwstr>
  </property>
  <property fmtid="{D5CDD505-2E9C-101B-9397-08002B2CF9AE}" pid="6" name="MSIP_Label_38f1469a-2c2a-4aee-b92b-090d4c5468ff_Method">
    <vt:lpwstr>Standard</vt:lpwstr>
  </property>
  <property fmtid="{D5CDD505-2E9C-101B-9397-08002B2CF9AE}" pid="7" name="MSIP_Label_38f1469a-2c2a-4aee-b92b-090d4c5468ff_Name">
    <vt:lpwstr>Confidential - Unmarked</vt:lpwstr>
  </property>
  <property fmtid="{D5CDD505-2E9C-101B-9397-08002B2CF9AE}" pid="8" name="MSIP_Label_38f1469a-2c2a-4aee-b92b-090d4c5468ff_SiteId">
    <vt:lpwstr>2a6e6092-73e4-4752-b1a5-477a17f5056d</vt:lpwstr>
  </property>
  <property fmtid="{D5CDD505-2E9C-101B-9397-08002B2CF9AE}" pid="9" name="MSIP_Label_38f1469a-2c2a-4aee-b92b-090d4c5468ff_ActionId">
    <vt:lpwstr>91bd20c7-9333-498a-9a21-01a79cf25c67</vt:lpwstr>
  </property>
  <property fmtid="{D5CDD505-2E9C-101B-9397-08002B2CF9AE}" pid="10" name="MSIP_Label_38f1469a-2c2a-4aee-b92b-090d4c5468ff_ContentBits">
    <vt:lpwstr>0</vt:lpwstr>
  </property>
  <property fmtid="{D5CDD505-2E9C-101B-9397-08002B2CF9AE}" pid="11" name="MSIP_Label_38f1469a-2c2a-4aee-b92b-090d4c5468ff_Tag">
    <vt:lpwstr>10, 3, 0, 1</vt:lpwstr>
  </property>
</Properties>
</file>