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Infraestructura02\Desktop\2026 INFRAESTRUCTURA\4. PRESUPUESTO MURO Y VÍA SAN ANTONIO\PARA OTROSÍ 1\"/>
    </mc:Choice>
  </mc:AlternateContent>
  <xr:revisionPtr revIDLastSave="0" documentId="13_ncr:1_{D18EC3AC-B9CB-4027-A401-41F59C621AB2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SAN ANTONIO " sheetId="9" r:id="rId1"/>
    <sheet name="Hoja1" sheetId="15" state="hidden" r:id="rId2"/>
    <sheet name="ADMINISTRACIÓN" sheetId="12" r:id="rId3"/>
    <sheet name="MEMORIAS" sheetId="10" state="hidden" r:id="rId4"/>
    <sheet name="APU'S" sheetId="7" r:id="rId5"/>
    <sheet name="APUS OE" sheetId="14" r:id="rId6"/>
  </sheets>
  <externalReferences>
    <externalReference r:id="rId7"/>
  </externalReferences>
  <definedNames>
    <definedName name="inf">#REF!</definedName>
    <definedName name="mat">'[1]ESTUDIO DE MERCADO - MATERIALES'!$B$8:$D$626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6" i="9" l="1"/>
  <c r="J18" i="9" l="1"/>
  <c r="N16" i="9" l="1"/>
  <c r="N15" i="9"/>
  <c r="L17" i="9"/>
  <c r="J21" i="9"/>
  <c r="O11" i="9"/>
  <c r="N17" i="9"/>
  <c r="O17" i="9" s="1"/>
  <c r="L18" i="9"/>
  <c r="N18" i="9" s="1"/>
  <c r="O18" i="9" s="1"/>
  <c r="J19" i="9"/>
  <c r="K18" i="9"/>
  <c r="J17" i="9"/>
  <c r="K17" i="9" s="1"/>
  <c r="J16" i="9"/>
  <c r="K16" i="9" s="1"/>
  <c r="O16" i="9" l="1"/>
  <c r="G56" i="14"/>
  <c r="J15" i="9"/>
  <c r="K15" i="9" s="1"/>
  <c r="H39" i="9"/>
  <c r="G39" i="9"/>
  <c r="I39" i="9" s="1"/>
  <c r="H36" i="9"/>
  <c r="H35" i="9"/>
  <c r="G153" i="14"/>
  <c r="G154" i="14"/>
  <c r="G155" i="14"/>
  <c r="G152" i="14"/>
  <c r="G200" i="14"/>
  <c r="K210" i="14"/>
  <c r="C217" i="14"/>
  <c r="G217" i="14"/>
  <c r="H223" i="14" s="1"/>
  <c r="E192" i="14" s="1"/>
  <c r="G192" i="14" s="1"/>
  <c r="G210" i="14"/>
  <c r="H214" i="14" s="1"/>
  <c r="G199" i="14"/>
  <c r="G170" i="14"/>
  <c r="H176" i="14" s="1"/>
  <c r="E145" i="14" s="1"/>
  <c r="G145" i="14" s="1"/>
  <c r="H149" i="14" s="1"/>
  <c r="C170" i="14"/>
  <c r="G163" i="14"/>
  <c r="H167" i="14" s="1"/>
  <c r="G125" i="14"/>
  <c r="H130" i="14" s="1"/>
  <c r="C125" i="14"/>
  <c r="H122" i="14"/>
  <c r="G112" i="14"/>
  <c r="G111" i="14"/>
  <c r="O15" i="9" l="1"/>
  <c r="G103" i="14"/>
  <c r="H108" i="14" s="1"/>
  <c r="H132" i="14" s="1"/>
  <c r="H115" i="14"/>
  <c r="H160" i="14"/>
  <c r="H178" i="14" s="1"/>
  <c r="H207" i="14"/>
  <c r="H196" i="14"/>
  <c r="H225" i="14" l="1"/>
  <c r="J66" i="14" l="1"/>
  <c r="F65" i="14"/>
  <c r="H38" i="9" l="1"/>
  <c r="I38" i="9" s="1"/>
  <c r="H37" i="9"/>
  <c r="G38" i="9"/>
  <c r="G37" i="9"/>
  <c r="I37" i="9" s="1"/>
  <c r="H40" i="9"/>
  <c r="J40" i="9" s="1"/>
  <c r="H41" i="9" l="1"/>
  <c r="J41" i="9" s="1"/>
  <c r="J42" i="9" s="1"/>
  <c r="G64" i="14"/>
  <c r="G63" i="14"/>
  <c r="E65" i="14"/>
  <c r="G65" i="14" s="1"/>
  <c r="H71" i="14" s="1"/>
  <c r="G81" i="14" l="1"/>
  <c r="H87" i="14" s="1"/>
  <c r="E56" i="14" s="1"/>
  <c r="C81" i="14"/>
  <c r="G74" i="14"/>
  <c r="H78" i="14" s="1"/>
  <c r="G58" i="14"/>
  <c r="G57" i="14"/>
  <c r="G12" i="14"/>
  <c r="G11" i="14"/>
  <c r="G35" i="14"/>
  <c r="H41" i="14" s="1"/>
  <c r="E10" i="14" s="1"/>
  <c r="G10" i="14" s="1"/>
  <c r="C35" i="14"/>
  <c r="G28" i="14"/>
  <c r="H32" i="14" s="1"/>
  <c r="G18" i="14"/>
  <c r="G17" i="14"/>
  <c r="H25" i="14" s="1"/>
  <c r="E41" i="9"/>
  <c r="H60" i="14" l="1"/>
  <c r="H89" i="14" s="1"/>
  <c r="H14" i="14"/>
  <c r="H43" i="14" s="1"/>
  <c r="K39" i="10" l="1"/>
  <c r="L5" i="10"/>
  <c r="L20" i="10"/>
  <c r="B39" i="10" l="1"/>
  <c r="G15" i="12"/>
  <c r="J12" i="9"/>
  <c r="J13" i="9"/>
  <c r="J14" i="9"/>
  <c r="L39" i="10"/>
  <c r="I14" i="9" s="1"/>
  <c r="L35" i="10"/>
  <c r="I13" i="9" s="1"/>
  <c r="G346" i="7"/>
  <c r="H350" i="7" s="1"/>
  <c r="G324" i="7" s="1"/>
  <c r="H329" i="7" s="1"/>
  <c r="C346" i="7"/>
  <c r="H343" i="7"/>
  <c r="G333" i="7"/>
  <c r="G332" i="7"/>
  <c r="G302" i="7"/>
  <c r="H308" i="7" s="1"/>
  <c r="C302" i="7"/>
  <c r="G295" i="7"/>
  <c r="H299" i="7" s="1"/>
  <c r="G285" i="7"/>
  <c r="G284" i="7"/>
  <c r="G283" i="7"/>
  <c r="G282" i="7"/>
  <c r="H292" i="7" s="1"/>
  <c r="G277" i="7"/>
  <c r="G276" i="7"/>
  <c r="G275" i="7"/>
  <c r="G274" i="7"/>
  <c r="H279" i="7" s="1"/>
  <c r="E252" i="7"/>
  <c r="G252" i="7" s="1"/>
  <c r="E245" i="7"/>
  <c r="G232" i="7"/>
  <c r="G231" i="7"/>
  <c r="M13" i="9" l="1"/>
  <c r="N13" i="9"/>
  <c r="O13" i="9"/>
  <c r="K19" i="9"/>
  <c r="M14" i="9"/>
  <c r="N14" i="9"/>
  <c r="N19" i="9"/>
  <c r="O19" i="9" s="1"/>
  <c r="O14" i="9"/>
  <c r="K14" i="9"/>
  <c r="H336" i="7"/>
  <c r="H352" i="7" s="1"/>
  <c r="H310" i="7"/>
  <c r="G188" i="7" l="1"/>
  <c r="G95" i="7"/>
  <c r="I9" i="9"/>
  <c r="I6" i="9"/>
  <c r="B10" i="9"/>
  <c r="B9" i="9"/>
  <c r="B8" i="9"/>
  <c r="B7" i="9"/>
  <c r="B6" i="9"/>
  <c r="G197" i="7"/>
  <c r="G198" i="7"/>
  <c r="G196" i="7"/>
  <c r="G210" i="7"/>
  <c r="H215" i="7" s="1"/>
  <c r="H193" i="7" s="1"/>
  <c r="C210" i="7"/>
  <c r="G203" i="7"/>
  <c r="H207" i="7" s="1"/>
  <c r="H200" i="7"/>
  <c r="J25" i="10"/>
  <c r="L16" i="10"/>
  <c r="O16" i="10" s="1"/>
  <c r="V156" i="7"/>
  <c r="K16" i="10"/>
  <c r="G106" i="7"/>
  <c r="H28" i="7"/>
  <c r="G60" i="7"/>
  <c r="H63" i="7" s="1"/>
  <c r="G73" i="7"/>
  <c r="H79" i="7" s="1"/>
  <c r="G52" i="7" s="1"/>
  <c r="H57" i="7" s="1"/>
  <c r="C73" i="7"/>
  <c r="G31" i="7"/>
  <c r="H37" i="7" s="1"/>
  <c r="C31" i="7"/>
  <c r="H21" i="7"/>
  <c r="G10" i="7"/>
  <c r="H15" i="7" s="1"/>
  <c r="M6" i="9" l="1"/>
  <c r="N6" i="9"/>
  <c r="M9" i="9"/>
  <c r="N9" i="9" s="1"/>
  <c r="P16" i="10"/>
  <c r="I8" i="9"/>
  <c r="H217" i="7"/>
  <c r="J10" i="9" s="1"/>
  <c r="H81" i="7"/>
  <c r="J7" i="9" s="1"/>
  <c r="H39" i="7"/>
  <c r="J6" i="9" s="1"/>
  <c r="M8" i="9" l="1"/>
  <c r="N8" i="9"/>
  <c r="O6" i="9"/>
  <c r="G167" i="7"/>
  <c r="C167" i="7"/>
  <c r="H172" i="7"/>
  <c r="G145" i="7" s="1"/>
  <c r="H150" i="7" s="1"/>
  <c r="H164" i="7"/>
  <c r="G154" i="7"/>
  <c r="G153" i="7"/>
  <c r="H157" i="7" l="1"/>
  <c r="H174" i="7" s="1"/>
  <c r="J9" i="9" s="1"/>
  <c r="O9" i="9" s="1"/>
  <c r="G123" i="7" l="1"/>
  <c r="C123" i="7"/>
  <c r="G116" i="7"/>
  <c r="H120" i="7" s="1"/>
  <c r="G104" i="7"/>
  <c r="G105" i="7"/>
  <c r="G103" i="7"/>
  <c r="H113" i="7" s="1"/>
  <c r="G98" i="7"/>
  <c r="G97" i="7"/>
  <c r="G96" i="7"/>
  <c r="F57" i="12" l="1"/>
  <c r="H57" i="12" s="1"/>
  <c r="D57" i="12"/>
  <c r="F55" i="12"/>
  <c r="F54" i="12"/>
  <c r="F53" i="12"/>
  <c r="F52" i="12"/>
  <c r="D47" i="12"/>
  <c r="J30" i="10" l="1"/>
  <c r="L30" i="10" s="1"/>
  <c r="I12" i="9" s="1"/>
  <c r="N12" i="9" s="1"/>
  <c r="O12" i="9" s="1"/>
  <c r="H258" i="7"/>
  <c r="G245" i="7"/>
  <c r="H249" i="7" s="1"/>
  <c r="G230" i="7"/>
  <c r="L25" i="10"/>
  <c r="I10" i="9" s="1"/>
  <c r="L10" i="9" s="1"/>
  <c r="N10" i="9" l="1"/>
  <c r="O10" i="9" s="1"/>
  <c r="H242" i="7"/>
  <c r="K13" i="9"/>
  <c r="H234" i="7"/>
  <c r="H260" i="7" s="1"/>
  <c r="K12" i="9" s="1"/>
  <c r="K11" i="9" s="1"/>
  <c r="K10" i="9"/>
  <c r="G7" i="12" l="1"/>
  <c r="G6" i="12"/>
  <c r="G5" i="12"/>
  <c r="G11" i="12" l="1"/>
  <c r="G17" i="12" s="1"/>
  <c r="K10" i="10" l="1"/>
  <c r="I7" i="9" s="1"/>
  <c r="L7" i="9" s="1"/>
  <c r="N7" i="9" l="1"/>
  <c r="O7" i="9" s="1"/>
  <c r="K7" i="9"/>
  <c r="H129" i="7"/>
  <c r="K9" i="9" l="1"/>
  <c r="H100" i="7" l="1"/>
  <c r="H131" i="7" s="1"/>
  <c r="J8" i="9" s="1"/>
  <c r="O8" i="9" s="1"/>
  <c r="O20" i="9" s="1"/>
  <c r="G31" i="12" l="1"/>
  <c r="G33" i="12"/>
  <c r="K8" i="9"/>
  <c r="K6" i="9"/>
  <c r="K5" i="9" l="1"/>
  <c r="K20" i="9" l="1"/>
  <c r="K21" i="9" s="1"/>
  <c r="K22" i="9" s="1"/>
  <c r="G35" i="12" l="1"/>
  <c r="K24" i="9"/>
  <c r="G24" i="12"/>
  <c r="G27" i="12"/>
  <c r="G29" i="12"/>
  <c r="G30" i="12"/>
  <c r="F34" i="12"/>
  <c r="G34" i="12"/>
  <c r="F36" i="12"/>
  <c r="G36" i="12"/>
  <c r="G37" i="12"/>
  <c r="C46" i="12"/>
  <c r="D48" i="12"/>
  <c r="D52" i="12"/>
  <c r="E52" i="12"/>
  <c r="H52" i="12"/>
  <c r="D53" i="12"/>
  <c r="E53" i="12"/>
  <c r="H53" i="12"/>
  <c r="D54" i="12"/>
  <c r="E54" i="12"/>
  <c r="H54" i="12"/>
  <c r="D55" i="12"/>
  <c r="E55" i="12"/>
  <c r="H55" i="12"/>
  <c r="H58" i="12"/>
  <c r="H59" i="12"/>
  <c r="H60" i="12"/>
  <c r="H61" i="12"/>
  <c r="N21" i="9"/>
  <c r="O21" i="9"/>
  <c r="O22" i="9"/>
</calcChain>
</file>

<file path=xl/sharedStrings.xml><?xml version="1.0" encoding="utf-8"?>
<sst xmlns="http://schemas.openxmlformats.org/spreadsheetml/2006/main" count="773" uniqueCount="213">
  <si>
    <t>ITEM</t>
  </si>
  <si>
    <t>DESCRIPCION</t>
  </si>
  <si>
    <t>UNIDAD</t>
  </si>
  <si>
    <t>VR PARCIAL</t>
  </si>
  <si>
    <t>m2</t>
  </si>
  <si>
    <t>SUBTOTAL COSTO DIRECTO</t>
  </si>
  <si>
    <t>ANÁLISIS DE PRECIOS UNITARIOS</t>
  </si>
  <si>
    <t>UNIDAD: m2</t>
  </si>
  <si>
    <t>I. EQUIPO</t>
  </si>
  <si>
    <t>Descripción</t>
  </si>
  <si>
    <t>Tipo</t>
  </si>
  <si>
    <t>Tarifa/Hora</t>
  </si>
  <si>
    <t>Rendimiento</t>
  </si>
  <si>
    <t>Valor-Unit.</t>
  </si>
  <si>
    <t>Sub-Total</t>
  </si>
  <si>
    <t>II. MATERIALES EN OBRA</t>
  </si>
  <si>
    <t>Unidad</t>
  </si>
  <si>
    <t>Precio-Unit.</t>
  </si>
  <si>
    <t>Cantidad</t>
  </si>
  <si>
    <t>III. TRANSPORTES</t>
  </si>
  <si>
    <t>Material</t>
  </si>
  <si>
    <t>Vol. Peso ó Cant.</t>
  </si>
  <si>
    <t>Distancia</t>
  </si>
  <si>
    <t>M3-Km</t>
  </si>
  <si>
    <t>Tarifa</t>
  </si>
  <si>
    <t>IV. MANO DE OBRA</t>
  </si>
  <si>
    <t>Trabajador</t>
  </si>
  <si>
    <t>Jornal</t>
  </si>
  <si>
    <t>Prestaciones</t>
  </si>
  <si>
    <t>Jornal Total</t>
  </si>
  <si>
    <t>Total Costo Directo</t>
  </si>
  <si>
    <t>ITEM: 1</t>
  </si>
  <si>
    <t>ITEM: 2</t>
  </si>
  <si>
    <t>Herramienta menor</t>
  </si>
  <si>
    <t>m3</t>
  </si>
  <si>
    <t>VALOR TOTAL PROYECTO</t>
  </si>
  <si>
    <t>Administracion</t>
  </si>
  <si>
    <t>ANCHO m</t>
  </si>
  <si>
    <t>LARGO m</t>
  </si>
  <si>
    <t>AREA m2</t>
  </si>
  <si>
    <t>ITEM: 3</t>
  </si>
  <si>
    <t>ITEM: 4</t>
  </si>
  <si>
    <t>CARGO /OFICIO</t>
  </si>
  <si>
    <t>CANTIDAD</t>
  </si>
  <si>
    <t>SUELDO O TARIFA MENSUAL</t>
  </si>
  <si>
    <t>DEDICACION MENSUAL</t>
  </si>
  <si>
    <t>DURACION TOTAL</t>
  </si>
  <si>
    <t>VALOR PARCIAL</t>
  </si>
  <si>
    <t>COSTOS DE PERSONAL</t>
  </si>
  <si>
    <t>PERSONAL PROFECIONAL O TECNICO</t>
  </si>
  <si>
    <t>ING CIVIL DIRECTOR DE OBRA</t>
  </si>
  <si>
    <t>TECNICO EN CONSTRUCIONES  DE OBRA</t>
  </si>
  <si>
    <t xml:space="preserve">SUB TORAL COSTO DE PERSONAL </t>
  </si>
  <si>
    <t>FACTOR PRESTACIONAL (FP= 1,47).  (A)</t>
  </si>
  <si>
    <t>TOTAL COSTO DE PERSONAL CON FACTOR PRESTACIONAL</t>
  </si>
  <si>
    <t xml:space="preserve">GASTOS DE OFICINA </t>
  </si>
  <si>
    <t>VALOR BASICO = A+B = C</t>
  </si>
  <si>
    <t>GASTOS DIRECTOS NO REEMBOLSABLES (sobre el valor total del proyecto)</t>
  </si>
  <si>
    <t>ESTAMPILLA PARA BIENESTA DEL ADULTO MAYOR (4%)</t>
  </si>
  <si>
    <t>ESTAMPILLA PRO DEPORTES (2,5)%)</t>
  </si>
  <si>
    <t>ESTAMPILLA PRO HOSPITALES PUBLICOS (1%)</t>
  </si>
  <si>
    <t>CONTRIBUCION ESPECIAL DE SEGURIDAD (5%)</t>
  </si>
  <si>
    <t>50% DEL IMPUESTO DEL 4/1000</t>
  </si>
  <si>
    <t>50% DEL IMPUESTO DE INDUSTRIA Y COMERCIO (1%)</t>
  </si>
  <si>
    <t>POLIZAS</t>
  </si>
  <si>
    <t>TOTAL GASTOS DIRECTOS NO REEMBOLSABLES (D)</t>
  </si>
  <si>
    <t xml:space="preserve">SUBTOTAL DE COSTOS DE ADMNISTRACION </t>
  </si>
  <si>
    <t>SUBTOTAL COSTOS DIRECTOS DE OBRA</t>
  </si>
  <si>
    <t>TOTAL PORCENTAJE ADMINITRACION (%)</t>
  </si>
  <si>
    <t>TOTAL UTILIDAD (%)</t>
  </si>
  <si>
    <t>TOTAL A U (%)</t>
  </si>
  <si>
    <t>VALOR TOTAL DEL PROYECTO (AU INCLUIDO)</t>
  </si>
  <si>
    <t>VALOR  COSTO DIRECTO</t>
  </si>
  <si>
    <t>VOL m3</t>
  </si>
  <si>
    <t>ESPESOR m</t>
  </si>
  <si>
    <t xml:space="preserve">CANTIDAD </t>
  </si>
  <si>
    <r>
      <t>VR UNITARIO</t>
    </r>
    <r>
      <rPr>
        <sz val="8"/>
        <rFont val="Arial"/>
        <family val="2"/>
      </rPr>
      <t xml:space="preserve"> </t>
    </r>
  </si>
  <si>
    <t>Aporte MUNICIPIO</t>
  </si>
  <si>
    <t>APORTE JAC (especie)</t>
  </si>
  <si>
    <t>UNIDADES</t>
  </si>
  <si>
    <t>ESTAMPILLA PRO CULTURA (0,5%)</t>
  </si>
  <si>
    <t>TOTAL GASTOA DE OFICNA, TRANSPORTE, PAPELERÍA (B)</t>
  </si>
  <si>
    <t xml:space="preserve">1 oficial / 2 ayudantes </t>
  </si>
  <si>
    <t>cantidad</t>
  </si>
  <si>
    <t>total m2</t>
  </si>
  <si>
    <t>ITEM: 5</t>
  </si>
  <si>
    <t>ITEM: 6</t>
  </si>
  <si>
    <t>kg</t>
  </si>
  <si>
    <t>ITEM: 7</t>
  </si>
  <si>
    <t>ITEM: 8</t>
  </si>
  <si>
    <t xml:space="preserve">OFICIAL DE PRIMERA </t>
  </si>
  <si>
    <t>CÁLCULO DE PÓLIZAS OBRA</t>
  </si>
  <si>
    <t>VALOR DEL CONTRATO ( $ )</t>
  </si>
  <si>
    <t>ANTICIPO</t>
  </si>
  <si>
    <t>TIPO DE GARANTÍA</t>
  </si>
  <si>
    <t>VALOR ASEGURADO</t>
  </si>
  <si>
    <t>COBERTURA 
( DÍAS )</t>
  </si>
  <si>
    <t>TASA 
ANUAL</t>
  </si>
  <si>
    <t>PRIMA</t>
  </si>
  <si>
    <t>%</t>
  </si>
  <si>
    <t>BASE</t>
  </si>
  <si>
    <t>VALOR</t>
  </si>
  <si>
    <t>CUMPLIMIENTO</t>
  </si>
  <si>
    <t>BUEN MANEJO Y CORRECTA INVERSIÓN DEL ANTICIPO</t>
  </si>
  <si>
    <t>SALARIOS Y PRESTACIONES SOCIALES</t>
  </si>
  <si>
    <t>CALIDAD DEL SERVICIO</t>
  </si>
  <si>
    <t>DECRETO 1082 SMMLV RESPONSABILIDAD CIVIL</t>
  </si>
  <si>
    <t>SMMLV</t>
  </si>
  <si>
    <t>MONTO ASEGURABLE</t>
  </si>
  <si>
    <t>PLAZO MESES</t>
  </si>
  <si>
    <t>TASA ANUAL</t>
  </si>
  <si>
    <t>SUBTOTAL PRIMA</t>
  </si>
  <si>
    <t>GASTOS DE EXPEDICIÓN</t>
  </si>
  <si>
    <t>I.V.A.</t>
  </si>
  <si>
    <t>TOTAL POLIZAS</t>
  </si>
  <si>
    <t>herramienta menor 10% M.o</t>
  </si>
  <si>
    <t>Gl</t>
  </si>
  <si>
    <t>molinete</t>
  </si>
  <si>
    <t xml:space="preserve">vibrador de concreto </t>
  </si>
  <si>
    <t>día</t>
  </si>
  <si>
    <t xml:space="preserve">día </t>
  </si>
  <si>
    <t>Concreto 3000 psi</t>
  </si>
  <si>
    <t>m3/ml</t>
  </si>
  <si>
    <t>anisol para curar concreto</t>
  </si>
  <si>
    <t>puntilla</t>
  </si>
  <si>
    <t>alambre quemado</t>
  </si>
  <si>
    <t xml:space="preserve">formaleta en tabla comun </t>
  </si>
  <si>
    <t xml:space="preserve">Acero de refuerzo fy 420 grado 60 </t>
  </si>
  <si>
    <t>Transporte interno matrial</t>
  </si>
  <si>
    <t>acero: 1 oficial y 2 ayudantes</t>
  </si>
  <si>
    <t>triturado3/4 para filto</t>
  </si>
  <si>
    <t>geotextil nt-2000</t>
  </si>
  <si>
    <t>m2/ml</t>
  </si>
  <si>
    <t>1 oficial y 2 ayudantes</t>
  </si>
  <si>
    <t>UNIDAD  : m3</t>
  </si>
  <si>
    <t>LLENOS CON MATERIAL DE PRÉSTAMO, compactados mecánicamente hasta obtener una densidad del 98% de la máxima obtenida en el ensayo del Próctor modificado. Incluye el suministro, transporte, colocación de la arenilla, la compactación de la misma y transporte interno. Y su medida será en sitio ya compactado.</t>
  </si>
  <si>
    <t xml:space="preserve">Material seleccionado para lleno </t>
  </si>
  <si>
    <t>EXCAVACIÓN MANUAL de material heterogéneo, bajo cualquier grado de humedad. Incluye: roca descompuesta, bolas de roca de volumen inferior a 0.35 m³., el cargue, transporte interno y externo, botada de material proveniente de las excavaciones en el botadero destinado por el municipio o los sitios donde indique la interventoría y su medida será en el sitio. No incluye entibado.</t>
  </si>
  <si>
    <t>vol m3</t>
  </si>
  <si>
    <t>Construcción de MURO DE CONTENCIÓN en concreto de 21 Mpa  con acelerante tipo Sikaset L o equivalente, espesor segun diseño. Incluye suministro, transporte y colocación del concreto para el vastago y la fundación, formaleta para acabado a la vista en la parte frontal, de tal forma que garantice una superficie pareja y homogénea, vibrado, protección, curado y todos los demás elementos necesarios para su correcto armado y vaciado. El acero de refuerzo se pagará en su respectivo item según diseño.</t>
  </si>
  <si>
    <t>lb</t>
  </si>
  <si>
    <t>acelerante para concreto</t>
  </si>
  <si>
    <t xml:space="preserve">VOL m3 zapata </t>
  </si>
  <si>
    <t>VOL m3 vastago</t>
  </si>
  <si>
    <t>Suministro, transporte e instalación de ACERO DE REFUERZO FIGURADO Fy= 420 MPa-60000 PSI, corrugado. Incluye transporte con descarga, transporte interno, alambre de amarre, certificados y todos los elementos necesarios para su correcta instalación, según diseño y recomendaciones estructurales.</t>
  </si>
  <si>
    <t>1 oficial y 7 ayudantes</t>
  </si>
  <si>
    <t>UNIDAD  : Kg</t>
  </si>
  <si>
    <t>kg/ml</t>
  </si>
  <si>
    <t>TOTAL kg</t>
  </si>
  <si>
    <t>Construcción de Filtro en geotextil NT - 2000, geodrén, piedra para filtro entre 1-3" y todos los elementos necesarios para su correcto funcionamiento, altura según diseño (largo 20 metros, alto con pendiente de 5  a 0 metros)</t>
  </si>
  <si>
    <t xml:space="preserve"> 1 oficial y 2 ayudantes</t>
  </si>
  <si>
    <t>geotextil no tejido 2000 1,6 a 3,5m</t>
  </si>
  <si>
    <t>triturado 3/4</t>
  </si>
  <si>
    <t>tubería pvc perforada de 100 mm (4")</t>
  </si>
  <si>
    <t>m</t>
  </si>
  <si>
    <t>UNIDAD  : m2</t>
  </si>
  <si>
    <t xml:space="preserve">MURO DE CONTENCIÓN </t>
  </si>
  <si>
    <t>rotomartillo para demolición de pavimento</t>
  </si>
  <si>
    <t xml:space="preserve">pulidora </t>
  </si>
  <si>
    <t>derecho a botadero incluye transporte</t>
  </si>
  <si>
    <t>Demolición placa en concreto existente con rotomartillo  incluye cortes con pulidora o cortadora de piso, derecho a botadero y todo lo necesario para su correcta ejecución.</t>
  </si>
  <si>
    <t>Demolición placa en concreto existente con rotomartillo  incluye cortes con pulidora o cortadora de piso, derecho a botadero y todo lo necesario para su correcta ejecució</t>
  </si>
  <si>
    <t>Suministro y colocación de concreto Hidraulico para losas de pavimento; Fc 30000 psi minimo. incluye formaleta. vibrado. texturizado. curado y demas actividades para su correcta colocacion</t>
  </si>
  <si>
    <t>espesor m</t>
  </si>
  <si>
    <t>total m3</t>
  </si>
  <si>
    <t>peso barra</t>
  </si>
  <si>
    <t>LOSAS DE CONCRETO HIDRAULICO</t>
  </si>
  <si>
    <t>Suministro y colocación de concreto Hidraulico para losas de pavimento; Fc 3000 psi minimo. incluye formaleta. vibrado. texturizado. curado y demas actividades para su correcta colocacion</t>
  </si>
  <si>
    <t xml:space="preserve">9 metros de muro </t>
  </si>
  <si>
    <t>10 placas</t>
  </si>
  <si>
    <t>OE-1</t>
  </si>
  <si>
    <t>OE-2</t>
  </si>
  <si>
    <t xml:space="preserve">6 col </t>
  </si>
  <si>
    <t>30*30</t>
  </si>
  <si>
    <t xml:space="preserve">viga </t>
  </si>
  <si>
    <t>35*35</t>
  </si>
  <si>
    <t>Logitudes</t>
  </si>
  <si>
    <t>Bloque de concreto, liso estándar, color gris, 40x20x20 cm, resistencia normalizada R10 (10 N/mm²),</t>
  </si>
  <si>
    <t>mortero de pega 1:3</t>
  </si>
  <si>
    <t>und</t>
  </si>
  <si>
    <t xml:space="preserve">m3 </t>
  </si>
  <si>
    <t>ACERO 1/2</t>
  </si>
  <si>
    <t>PLAZO ESTIMADO GARANTÍAS</t>
  </si>
  <si>
    <t>Suministro, figuración e instalación de acero de refuerzo 60.000 psi, para elementos estructulaes de muro de contención y losas de hormigon, incluye todos los elementos necesarios para su instalación.</t>
  </si>
  <si>
    <t xml:space="preserve">herramienta menor </t>
  </si>
  <si>
    <t>1 oficial y 1 ayudante</t>
  </si>
  <si>
    <t>mortero 1:4</t>
  </si>
  <si>
    <t xml:space="preserve">aditivo impermeabilizante </t>
  </si>
  <si>
    <t>Arena</t>
  </si>
  <si>
    <t>cemento grisl</t>
  </si>
  <si>
    <t>piedra media zonga</t>
  </si>
  <si>
    <t>triturado</t>
  </si>
  <si>
    <t>sc</t>
  </si>
  <si>
    <t>OE-3</t>
  </si>
  <si>
    <t>OE-4</t>
  </si>
  <si>
    <t>OE-5</t>
  </si>
  <si>
    <t>Construcción de elementos estructurales en concreto de 21 Mpa para muro de contención y losas de pavimento.</t>
  </si>
  <si>
    <t>ACERO 3/8</t>
  </si>
  <si>
    <t>Revoque liso con acabado lavado realizado con mortero sobre cara exterior de muro de contención.</t>
  </si>
  <si>
    <t>ITEM: OE-1</t>
  </si>
  <si>
    <t>Muro de contención en bloque relleno en concreto de 21 Mpa en todas las celdas, el acero y elementos estructurales se pagan en su respectivo item.</t>
  </si>
  <si>
    <t>ITEM: OE-2</t>
  </si>
  <si>
    <t>ITEM: OE-5</t>
  </si>
  <si>
    <t>Concreto ciclópeo (producción): Mezclado en sitio o planta móvil, transporte interno, colocación, vibrado y curado del concreto ciclópeo.</t>
  </si>
  <si>
    <t>ITEM: OE-3</t>
  </si>
  <si>
    <t>ITEM: OE-4</t>
  </si>
  <si>
    <t xml:space="preserve">MAYORES CANTIDADES </t>
  </si>
  <si>
    <t xml:space="preserve">MENORES CANTIDADES </t>
  </si>
  <si>
    <t xml:space="preserve">CANTIDADES ACTUALES </t>
  </si>
  <si>
    <t xml:space="preserve">VALOR TOTAL </t>
  </si>
  <si>
    <t xml:space="preserve">CONDICIONES CONTRACTUALES </t>
  </si>
  <si>
    <t xml:space="preserve">VALOR </t>
  </si>
  <si>
    <t>ACTA DE MODIFICACIÓN No.1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</si>
</sst>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5" formatCode="&quot;$&quot;\ #,##0;\-&quot;$&quot;\ #,##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_);_(&quot;$&quot;\ * \(#,##0\);_(&quot;$&quot;\ * &quot;-&quot;_);_(@_)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&quot;C$&quot;* #,##0.00_);_(&quot;C$&quot;* \(#,##0.00\);_(&quot;C$&quot;* &quot;-&quot;??_);_(@_)"/>
    <numFmt numFmtId="168" formatCode="&quot;$&quot;\ #,##0.00"/>
    <numFmt numFmtId="169" formatCode="[$$-240A]\ #,##0"/>
    <numFmt numFmtId="170" formatCode="[$$-240A]\ #,##0.00"/>
    <numFmt numFmtId="171" formatCode="#,##0.000"/>
    <numFmt numFmtId="172" formatCode="#,##0.0"/>
    <numFmt numFmtId="173" formatCode="#.##\ \K\g"/>
    <numFmt numFmtId="174" formatCode="_-&quot;$&quot;\ * #,##0_-;\-&quot;$&quot;\ * #,##0_-;_-&quot;$&quot;\ * &quot;-&quot;??_-;_-@_-"/>
    <numFmt numFmtId="175" formatCode="&quot;$&quot;\ #,##0"/>
    <numFmt numFmtId="176" formatCode="_ * #,##0.00_ ;_ * \-#,##0.00_ ;_ * &quot;-&quot;??_ ;_ @_ "/>
    <numFmt numFmtId="177" formatCode="_ [$€-2]\ * #,##0.00_ ;_ [$€-2]\ * \-#,##0.00_ ;_ [$€-2]\ * &quot;-&quot;??_ "/>
    <numFmt numFmtId="178" formatCode="_(&quot;C$&quot;* #,##0_);_(&quot;C$&quot;* \(#,##0\);_(&quot;C$&quot;* &quot;-&quot;_);_(@_)"/>
    <numFmt numFmtId="179" formatCode="#,##0.0000"/>
    <numFmt numFmtId="180" formatCode="&quot;$&quot;#,##0"/>
    <numFmt numFmtId="181" formatCode="_-&quot;$&quot;\ * #,##0.0_-;\-&quot;$&quot;\ * #,##0.0_-;_-&quot;$&quot;\ * &quot;-&quot;??_-;_-@_-"/>
    <numFmt numFmtId="182" formatCode="0.000"/>
    <numFmt numFmtId="183" formatCode="#,##0.00_);\-#,##0.00"/>
    <numFmt numFmtId="184" formatCode="#,##0.00&quot; SMMLV&quot;"/>
    <numFmt numFmtId="185" formatCode="#,##0.0&quot; MESES&quot;"/>
    <numFmt numFmtId="186" formatCode="#,##0&quot; DÍAS&quot;"/>
    <numFmt numFmtId="187" formatCode="_-* #,##0\ _€_-;\-* #,##0\ _€_-;_-* &quot;-&quot;\ _€_-;_-@_-"/>
    <numFmt numFmtId="188" formatCode="_-&quot;$&quot;* #,##0_-;\-&quot;$&quot;* #,##0_-;_-&quot;$&quot;* &quot;-&quot;_-;_-@_-"/>
    <numFmt numFmtId="189" formatCode="0.0"/>
    <numFmt numFmtId="190" formatCode="&quot;$&quot;#,##0.00"/>
  </numFmts>
  <fonts count="42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10"/>
      <color rgb="FF000000"/>
      <name val="Arial"/>
      <family val="2"/>
    </font>
    <font>
      <sz val="8"/>
      <name val="Calibri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10"/>
      <color rgb="FF000000"/>
      <name val="Arial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</font>
    <font>
      <sz val="10"/>
      <name val="Courier"/>
      <family val="3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11"/>
      <color theme="1"/>
      <name val="Calibri"/>
      <family val="2"/>
    </font>
    <font>
      <sz val="8"/>
      <color theme="0"/>
      <name val="Arial"/>
      <family val="2"/>
    </font>
    <font>
      <sz val="10"/>
      <color rgb="FF000000"/>
      <name val="Times New Roman"/>
      <family val="1"/>
    </font>
    <font>
      <sz val="10"/>
      <color theme="1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00B050"/>
        <bgColor indexed="64"/>
      </patternFill>
    </fill>
  </fills>
  <borders count="9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22">
    <xf numFmtId="0" fontId="0" fillId="0" borderId="0"/>
    <xf numFmtId="9" fontId="11" fillId="0" borderId="0" applyFont="0" applyFill="0" applyBorder="0" applyAlignment="0" applyProtection="0"/>
    <xf numFmtId="0" fontId="6" fillId="0" borderId="3"/>
    <xf numFmtId="44" fontId="13" fillId="0" borderId="0" applyFont="0" applyFill="0" applyBorder="0" applyAlignment="0" applyProtection="0"/>
    <xf numFmtId="0" fontId="15" fillId="4" borderId="3" applyNumberFormat="0" applyBorder="0" applyAlignment="0" applyProtection="0"/>
    <xf numFmtId="0" fontId="15" fillId="5" borderId="3" applyNumberFormat="0" applyBorder="0" applyAlignment="0" applyProtection="0"/>
    <xf numFmtId="0" fontId="15" fillId="6" borderId="3" applyNumberFormat="0" applyBorder="0" applyAlignment="0" applyProtection="0"/>
    <xf numFmtId="0" fontId="15" fillId="7" borderId="3" applyNumberFormat="0" applyBorder="0" applyAlignment="0" applyProtection="0"/>
    <xf numFmtId="0" fontId="15" fillId="8" borderId="3" applyNumberFormat="0" applyBorder="0" applyAlignment="0" applyProtection="0"/>
    <xf numFmtId="0" fontId="15" fillId="9" borderId="3" applyNumberFormat="0" applyBorder="0" applyAlignment="0" applyProtection="0"/>
    <xf numFmtId="0" fontId="15" fillId="10" borderId="3" applyNumberFormat="0" applyBorder="0" applyAlignment="0" applyProtection="0"/>
    <xf numFmtId="0" fontId="15" fillId="11" borderId="3" applyNumberFormat="0" applyBorder="0" applyAlignment="0" applyProtection="0"/>
    <xf numFmtId="0" fontId="15" fillId="12" borderId="3" applyNumberFormat="0" applyBorder="0" applyAlignment="0" applyProtection="0"/>
    <xf numFmtId="0" fontId="15" fillId="7" borderId="3" applyNumberFormat="0" applyBorder="0" applyAlignment="0" applyProtection="0"/>
    <xf numFmtId="0" fontId="15" fillId="10" borderId="3" applyNumberFormat="0" applyBorder="0" applyAlignment="0" applyProtection="0"/>
    <xf numFmtId="0" fontId="15" fillId="13" borderId="3" applyNumberFormat="0" applyBorder="0" applyAlignment="0" applyProtection="0"/>
    <xf numFmtId="0" fontId="16" fillId="14" borderId="3" applyNumberFormat="0" applyBorder="0" applyAlignment="0" applyProtection="0"/>
    <xf numFmtId="0" fontId="16" fillId="11" borderId="3" applyNumberFormat="0" applyBorder="0" applyAlignment="0" applyProtection="0"/>
    <xf numFmtId="0" fontId="16" fillId="12" borderId="3" applyNumberFormat="0" applyBorder="0" applyAlignment="0" applyProtection="0"/>
    <xf numFmtId="0" fontId="16" fillId="15" borderId="3" applyNumberFormat="0" applyBorder="0" applyAlignment="0" applyProtection="0"/>
    <xf numFmtId="0" fontId="16" fillId="16" borderId="3" applyNumberFormat="0" applyBorder="0" applyAlignment="0" applyProtection="0"/>
    <xf numFmtId="0" fontId="16" fillId="17" borderId="3" applyNumberFormat="0" applyBorder="0" applyAlignment="0" applyProtection="0"/>
    <xf numFmtId="0" fontId="17" fillId="6" borderId="3" applyNumberFormat="0" applyBorder="0" applyAlignment="0" applyProtection="0"/>
    <xf numFmtId="0" fontId="18" fillId="18" borderId="46" applyNumberFormat="0" applyAlignment="0" applyProtection="0"/>
    <xf numFmtId="0" fontId="19" fillId="19" borderId="47" applyNumberFormat="0" applyAlignment="0" applyProtection="0"/>
    <xf numFmtId="0" fontId="20" fillId="0" borderId="48" applyNumberFormat="0" applyFill="0" applyAlignment="0" applyProtection="0"/>
    <xf numFmtId="0" fontId="21" fillId="0" borderId="3" applyNumberFormat="0" applyFill="0" applyBorder="0" applyAlignment="0" applyProtection="0"/>
    <xf numFmtId="0" fontId="16" fillId="20" borderId="3" applyNumberFormat="0" applyBorder="0" applyAlignment="0" applyProtection="0"/>
    <xf numFmtId="0" fontId="16" fillId="21" borderId="3" applyNumberFormat="0" applyBorder="0" applyAlignment="0" applyProtection="0"/>
    <xf numFmtId="0" fontId="16" fillId="22" borderId="3" applyNumberFormat="0" applyBorder="0" applyAlignment="0" applyProtection="0"/>
    <xf numFmtId="0" fontId="16" fillId="15" borderId="3" applyNumberFormat="0" applyBorder="0" applyAlignment="0" applyProtection="0"/>
    <xf numFmtId="0" fontId="16" fillId="16" borderId="3" applyNumberFormat="0" applyBorder="0" applyAlignment="0" applyProtection="0"/>
    <xf numFmtId="0" fontId="16" fillId="23" borderId="3" applyNumberFormat="0" applyBorder="0" applyAlignment="0" applyProtection="0"/>
    <xf numFmtId="0" fontId="22" fillId="9" borderId="46" applyNumberFormat="0" applyAlignment="0" applyProtection="0"/>
    <xf numFmtId="177" fontId="6" fillId="0" borderId="3" applyFont="0" applyFill="0" applyBorder="0" applyAlignment="0" applyProtection="0"/>
    <xf numFmtId="0" fontId="14" fillId="0" borderId="3" applyNumberFormat="0" applyFill="0" applyBorder="0" applyAlignment="0" applyProtection="0"/>
    <xf numFmtId="0" fontId="23" fillId="5" borderId="3" applyNumberFormat="0" applyBorder="0" applyAlignment="0" applyProtection="0"/>
    <xf numFmtId="165" fontId="6" fillId="0" borderId="3" applyFont="0" applyFill="0" applyBorder="0" applyAlignment="0" applyProtection="0"/>
    <xf numFmtId="176" fontId="6" fillId="0" borderId="3" applyFont="0" applyFill="0" applyBorder="0" applyAlignment="0" applyProtection="0"/>
    <xf numFmtId="166" fontId="6" fillId="0" borderId="3" applyFont="0" applyFill="0" applyBorder="0" applyAlignment="0" applyProtection="0"/>
    <xf numFmtId="164" fontId="6" fillId="0" borderId="3" applyFont="0" applyFill="0" applyBorder="0" applyAlignment="0" applyProtection="0"/>
    <xf numFmtId="178" fontId="6" fillId="0" borderId="3" applyFont="0" applyFill="0" applyBorder="0" applyAlignment="0" applyProtection="0"/>
    <xf numFmtId="0" fontId="24" fillId="24" borderId="3" applyNumberFormat="0" applyBorder="0" applyAlignment="0" applyProtection="0"/>
    <xf numFmtId="0" fontId="6" fillId="25" borderId="49" applyNumberFormat="0" applyFont="0" applyAlignment="0" applyProtection="0"/>
    <xf numFmtId="9" fontId="6" fillId="0" borderId="3" applyFont="0" applyFill="0" applyBorder="0" applyAlignment="0" applyProtection="0"/>
    <xf numFmtId="9" fontId="6" fillId="0" borderId="3" applyFont="0" applyFill="0" applyBorder="0" applyAlignment="0" applyProtection="0"/>
    <xf numFmtId="9" fontId="15" fillId="0" borderId="3" applyFont="0" applyFill="0" applyBorder="0" applyAlignment="0" applyProtection="0"/>
    <xf numFmtId="0" fontId="25" fillId="18" borderId="50" applyNumberFormat="0" applyAlignment="0" applyProtection="0"/>
    <xf numFmtId="0" fontId="26" fillId="0" borderId="3" applyNumberFormat="0" applyFill="0" applyBorder="0" applyAlignment="0" applyProtection="0"/>
    <xf numFmtId="0" fontId="27" fillId="0" borderId="3" applyNumberFormat="0" applyFill="0" applyBorder="0" applyAlignment="0" applyProtection="0"/>
    <xf numFmtId="0" fontId="28" fillId="0" borderId="3" applyNumberFormat="0" applyFill="0" applyBorder="0" applyAlignment="0" applyProtection="0"/>
    <xf numFmtId="0" fontId="29" fillId="0" borderId="51" applyNumberFormat="0" applyFill="0" applyAlignment="0" applyProtection="0"/>
    <xf numFmtId="0" fontId="21" fillId="0" borderId="52" applyNumberFormat="0" applyFill="0" applyAlignment="0" applyProtection="0"/>
    <xf numFmtId="0" fontId="30" fillId="0" borderId="53" applyNumberFormat="0" applyFill="0" applyAlignment="0" applyProtection="0"/>
    <xf numFmtId="0" fontId="6" fillId="0" borderId="3"/>
    <xf numFmtId="0" fontId="3" fillId="0" borderId="3"/>
    <xf numFmtId="0" fontId="33" fillId="0" borderId="3"/>
    <xf numFmtId="44" fontId="34" fillId="0" borderId="3" applyFont="0" applyFill="0" applyBorder="0" applyAlignment="0" applyProtection="0"/>
    <xf numFmtId="0" fontId="6" fillId="0" borderId="3"/>
    <xf numFmtId="0" fontId="6" fillId="0" borderId="3"/>
    <xf numFmtId="9" fontId="6" fillId="0" borderId="3" applyFont="0" applyFill="0" applyBorder="0" applyAlignment="0" applyProtection="0"/>
    <xf numFmtId="44" fontId="34" fillId="0" borderId="3" applyFont="0" applyFill="0" applyBorder="0" applyAlignment="0" applyProtection="0"/>
    <xf numFmtId="44" fontId="34" fillId="0" borderId="3" applyFont="0" applyFill="0" applyBorder="0" applyAlignment="0" applyProtection="0"/>
    <xf numFmtId="44" fontId="34" fillId="0" borderId="3" applyFont="0" applyFill="0" applyBorder="0" applyAlignment="0" applyProtection="0"/>
    <xf numFmtId="183" fontId="35" fillId="0" borderId="3"/>
    <xf numFmtId="0" fontId="34" fillId="0" borderId="3"/>
    <xf numFmtId="44" fontId="34" fillId="0" borderId="3" applyFont="0" applyFill="0" applyBorder="0" applyAlignment="0" applyProtection="0"/>
    <xf numFmtId="0" fontId="2" fillId="0" borderId="3"/>
    <xf numFmtId="187" fontId="6" fillId="0" borderId="3" applyFont="0" applyFill="0" applyBorder="0" applyAlignment="0" applyProtection="0"/>
    <xf numFmtId="43" fontId="2" fillId="0" borderId="3" applyFont="0" applyFill="0" applyBorder="0" applyAlignment="0" applyProtection="0"/>
    <xf numFmtId="9" fontId="2" fillId="0" borderId="3" applyFont="0" applyFill="0" applyBorder="0" applyAlignment="0" applyProtection="0"/>
    <xf numFmtId="44" fontId="2" fillId="0" borderId="3" applyFont="0" applyFill="0" applyBorder="0" applyAlignment="0" applyProtection="0"/>
    <xf numFmtId="44" fontId="2" fillId="0" borderId="3" applyFont="0" applyFill="0" applyBorder="0" applyAlignment="0" applyProtection="0"/>
    <xf numFmtId="0" fontId="2" fillId="0" borderId="3"/>
    <xf numFmtId="44" fontId="2" fillId="0" borderId="3" applyFont="0" applyFill="0" applyBorder="0" applyAlignment="0" applyProtection="0"/>
    <xf numFmtId="44" fontId="2" fillId="0" borderId="3" applyFont="0" applyFill="0" applyBorder="0" applyAlignment="0" applyProtection="0"/>
    <xf numFmtId="0" fontId="2" fillId="0" borderId="3"/>
    <xf numFmtId="43" fontId="2" fillId="0" borderId="3" applyFont="0" applyFill="0" applyBorder="0" applyAlignment="0" applyProtection="0"/>
    <xf numFmtId="41" fontId="2" fillId="0" borderId="3" applyFont="0" applyFill="0" applyBorder="0" applyAlignment="0" applyProtection="0"/>
    <xf numFmtId="0" fontId="6" fillId="0" borderId="3"/>
    <xf numFmtId="188" fontId="2" fillId="0" borderId="3" applyFont="0" applyFill="0" applyBorder="0" applyAlignment="0" applyProtection="0"/>
    <xf numFmtId="0" fontId="2" fillId="0" borderId="3"/>
    <xf numFmtId="43" fontId="40" fillId="0" borderId="3" applyFont="0" applyFill="0" applyBorder="0" applyAlignment="0" applyProtection="0"/>
    <xf numFmtId="0" fontId="40" fillId="0" borderId="3"/>
    <xf numFmtId="0" fontId="2" fillId="0" borderId="3"/>
    <xf numFmtId="44" fontId="2" fillId="0" borderId="3" applyFont="0" applyFill="0" applyBorder="0" applyAlignment="0" applyProtection="0"/>
    <xf numFmtId="44" fontId="2" fillId="0" borderId="3" applyFont="0" applyFill="0" applyBorder="0" applyAlignment="0" applyProtection="0"/>
    <xf numFmtId="43" fontId="2" fillId="0" borderId="3" applyFont="0" applyFill="0" applyBorder="0" applyAlignment="0" applyProtection="0"/>
    <xf numFmtId="43" fontId="2" fillId="0" borderId="3" applyFont="0" applyFill="0" applyBorder="0" applyAlignment="0" applyProtection="0"/>
    <xf numFmtId="43" fontId="2" fillId="0" borderId="3" applyFont="0" applyFill="0" applyBorder="0" applyAlignment="0" applyProtection="0"/>
    <xf numFmtId="43" fontId="2" fillId="0" borderId="3" applyFont="0" applyFill="0" applyBorder="0" applyAlignment="0" applyProtection="0"/>
    <xf numFmtId="44" fontId="2" fillId="0" borderId="3" applyFont="0" applyFill="0" applyBorder="0" applyAlignment="0" applyProtection="0"/>
    <xf numFmtId="44" fontId="2" fillId="0" borderId="3" applyFont="0" applyFill="0" applyBorder="0" applyAlignment="0" applyProtection="0"/>
    <xf numFmtId="43" fontId="2" fillId="0" borderId="3" applyFont="0" applyFill="0" applyBorder="0" applyAlignment="0" applyProtection="0"/>
    <xf numFmtId="43" fontId="2" fillId="0" borderId="3" applyFont="0" applyFill="0" applyBorder="0" applyAlignment="0" applyProtection="0"/>
    <xf numFmtId="44" fontId="2" fillId="0" borderId="3" applyFont="0" applyFill="0" applyBorder="0" applyAlignment="0" applyProtection="0"/>
    <xf numFmtId="43" fontId="2" fillId="0" borderId="3" applyFont="0" applyFill="0" applyBorder="0" applyAlignment="0" applyProtection="0"/>
    <xf numFmtId="44" fontId="2" fillId="0" borderId="3" applyFont="0" applyFill="0" applyBorder="0" applyAlignment="0" applyProtection="0"/>
    <xf numFmtId="43" fontId="2" fillId="0" borderId="3" applyFont="0" applyFill="0" applyBorder="0" applyAlignment="0" applyProtection="0"/>
    <xf numFmtId="44" fontId="2" fillId="0" borderId="3" applyFont="0" applyFill="0" applyBorder="0" applyAlignment="0" applyProtection="0"/>
    <xf numFmtId="43" fontId="2" fillId="0" borderId="3" applyFont="0" applyFill="0" applyBorder="0" applyAlignment="0" applyProtection="0"/>
    <xf numFmtId="0" fontId="1" fillId="0" borderId="3"/>
    <xf numFmtId="43" fontId="33" fillId="0" borderId="3" applyFont="0" applyFill="0" applyBorder="0" applyAlignment="0" applyProtection="0"/>
    <xf numFmtId="0" fontId="6" fillId="0" borderId="3"/>
    <xf numFmtId="41" fontId="41" fillId="0" borderId="3" applyFont="0" applyFill="0" applyBorder="0" applyAlignment="0" applyProtection="0"/>
    <xf numFmtId="41" fontId="1" fillId="0" borderId="3" applyFont="0" applyFill="0" applyBorder="0" applyAlignment="0" applyProtection="0"/>
    <xf numFmtId="0" fontId="11" fillId="0" borderId="3"/>
    <xf numFmtId="9" fontId="11" fillId="0" borderId="3" applyFont="0" applyFill="0" applyBorder="0" applyAlignment="0" applyProtection="0"/>
    <xf numFmtId="44" fontId="11" fillId="0" borderId="3" applyFont="0" applyFill="0" applyBorder="0" applyAlignment="0" applyProtection="0"/>
    <xf numFmtId="0" fontId="18" fillId="18" borderId="70" applyNumberFormat="0" applyAlignment="0" applyProtection="0"/>
    <xf numFmtId="0" fontId="22" fillId="9" borderId="70" applyNumberFormat="0" applyAlignment="0" applyProtection="0"/>
    <xf numFmtId="41" fontId="6" fillId="0" borderId="3" applyFont="0" applyFill="0" applyBorder="0" applyAlignment="0" applyProtection="0"/>
    <xf numFmtId="0" fontId="6" fillId="25" borderId="71" applyNumberFormat="0" applyFont="0" applyAlignment="0" applyProtection="0"/>
    <xf numFmtId="0" fontId="25" fillId="18" borderId="72" applyNumberFormat="0" applyAlignment="0" applyProtection="0"/>
    <xf numFmtId="0" fontId="30" fillId="0" borderId="73" applyNumberFormat="0" applyFill="0" applyAlignment="0" applyProtection="0"/>
    <xf numFmtId="0" fontId="1" fillId="0" borderId="3"/>
    <xf numFmtId="44" fontId="33" fillId="0" borderId="3" applyFont="0" applyFill="0" applyBorder="0" applyAlignment="0" applyProtection="0"/>
    <xf numFmtId="44" fontId="33" fillId="0" borderId="3" applyFont="0" applyFill="0" applyBorder="0" applyAlignment="0" applyProtection="0"/>
    <xf numFmtId="44" fontId="33" fillId="0" borderId="3" applyFont="0" applyFill="0" applyBorder="0" applyAlignment="0" applyProtection="0"/>
    <xf numFmtId="44" fontId="33" fillId="0" borderId="3" applyFont="0" applyFill="0" applyBorder="0" applyAlignment="0" applyProtection="0"/>
    <xf numFmtId="0" fontId="33" fillId="0" borderId="3"/>
    <xf numFmtId="44" fontId="33" fillId="0" borderId="3" applyFont="0" applyFill="0" applyBorder="0" applyAlignment="0" applyProtection="0"/>
  </cellStyleXfs>
  <cellXfs count="389">
    <xf numFmtId="0" fontId="0" fillId="0" borderId="0" xfId="0"/>
    <xf numFmtId="167" fontId="9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3" borderId="0" xfId="0" applyFill="1"/>
    <xf numFmtId="0" fontId="9" fillId="3" borderId="12" xfId="0" applyFont="1" applyFill="1" applyBorder="1" applyAlignment="1">
      <alignment horizontal="centerContinuous"/>
    </xf>
    <xf numFmtId="0" fontId="9" fillId="3" borderId="13" xfId="0" applyFont="1" applyFill="1" applyBorder="1" applyAlignment="1">
      <alignment horizontal="centerContinuous"/>
    </xf>
    <xf numFmtId="0" fontId="6" fillId="3" borderId="14" xfId="0" applyFont="1" applyFill="1" applyBorder="1" applyAlignment="1">
      <alignment horizontal="centerContinuous"/>
    </xf>
    <xf numFmtId="0" fontId="9" fillId="3" borderId="6" xfId="0" applyFont="1" applyFill="1" applyBorder="1" applyAlignment="1">
      <alignment horizontal="centerContinuous"/>
    </xf>
    <xf numFmtId="0" fontId="9" fillId="3" borderId="0" xfId="0" applyFont="1" applyFill="1" applyAlignment="1">
      <alignment horizontal="centerContinuous"/>
    </xf>
    <xf numFmtId="0" fontId="4" fillId="3" borderId="7" xfId="0" applyFont="1" applyFill="1" applyBorder="1" applyAlignment="1">
      <alignment horizontal="centerContinuous"/>
    </xf>
    <xf numFmtId="0" fontId="4" fillId="3" borderId="0" xfId="0" applyFont="1" applyFill="1"/>
    <xf numFmtId="0" fontId="8" fillId="3" borderId="0" xfId="0" applyFont="1" applyFill="1"/>
    <xf numFmtId="0" fontId="4" fillId="3" borderId="7" xfId="0" applyFont="1" applyFill="1" applyBorder="1"/>
    <xf numFmtId="0" fontId="4" fillId="3" borderId="10" xfId="0" applyFont="1" applyFill="1" applyBorder="1" applyAlignment="1">
      <alignment horizontal="centerContinuous"/>
    </xf>
    <xf numFmtId="0" fontId="4" fillId="3" borderId="8" xfId="0" applyFont="1" applyFill="1" applyBorder="1" applyAlignment="1">
      <alignment horizontal="centerContinuous"/>
    </xf>
    <xf numFmtId="0" fontId="4" fillId="3" borderId="9" xfId="0" applyFont="1" applyFill="1" applyBorder="1" applyAlignment="1">
      <alignment horizontal="centerContinuous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/>
    <xf numFmtId="0" fontId="4" fillId="3" borderId="40" xfId="0" applyFont="1" applyFill="1" applyBorder="1" applyAlignment="1">
      <alignment horizontal="center"/>
    </xf>
    <xf numFmtId="0" fontId="4" fillId="3" borderId="40" xfId="0" applyFont="1" applyFill="1" applyBorder="1" applyAlignment="1">
      <alignment horizontal="right"/>
    </xf>
    <xf numFmtId="174" fontId="4" fillId="3" borderId="34" xfId="3" applyNumberFormat="1" applyFont="1" applyFill="1" applyBorder="1" applyAlignment="1">
      <alignment horizontal="right"/>
    </xf>
    <xf numFmtId="0" fontId="4" fillId="3" borderId="22" xfId="0" applyFont="1" applyFill="1" applyBorder="1"/>
    <xf numFmtId="3" fontId="4" fillId="3" borderId="40" xfId="0" applyNumberFormat="1" applyFont="1" applyFill="1" applyBorder="1" applyAlignment="1">
      <alignment horizontal="center"/>
    </xf>
    <xf numFmtId="3" fontId="4" fillId="3" borderId="40" xfId="0" applyNumberFormat="1" applyFont="1" applyFill="1" applyBorder="1"/>
    <xf numFmtId="4" fontId="4" fillId="3" borderId="40" xfId="0" applyNumberFormat="1" applyFont="1" applyFill="1" applyBorder="1"/>
    <xf numFmtId="174" fontId="4" fillId="3" borderId="34" xfId="3" applyNumberFormat="1" applyFont="1" applyFill="1" applyBorder="1"/>
    <xf numFmtId="0" fontId="4" fillId="3" borderId="33" xfId="0" applyFont="1" applyFill="1" applyBorder="1" applyAlignment="1">
      <alignment horizontal="left"/>
    </xf>
    <xf numFmtId="0" fontId="4" fillId="3" borderId="34" xfId="0" applyFont="1" applyFill="1" applyBorder="1" applyAlignment="1">
      <alignment horizontal="left"/>
    </xf>
    <xf numFmtId="0" fontId="4" fillId="3" borderId="40" xfId="0" applyFont="1" applyFill="1" applyBorder="1" applyAlignment="1">
      <alignment horizontal="left"/>
    </xf>
    <xf numFmtId="3" fontId="4" fillId="3" borderId="41" xfId="0" applyNumberFormat="1" applyFont="1" applyFill="1" applyBorder="1" applyAlignment="1">
      <alignment horizontal="center"/>
    </xf>
    <xf numFmtId="3" fontId="4" fillId="3" borderId="42" xfId="0" applyNumberFormat="1" applyFont="1" applyFill="1" applyBorder="1" applyAlignment="1">
      <alignment horizontal="center"/>
    </xf>
    <xf numFmtId="3" fontId="4" fillId="3" borderId="42" xfId="0" applyNumberFormat="1" applyFont="1" applyFill="1" applyBorder="1"/>
    <xf numFmtId="3" fontId="4" fillId="3" borderId="27" xfId="0" applyNumberFormat="1" applyFont="1" applyFill="1" applyBorder="1" applyAlignment="1">
      <alignment horizontal="center"/>
    </xf>
    <xf numFmtId="3" fontId="4" fillId="3" borderId="27" xfId="0" applyNumberFormat="1" applyFont="1" applyFill="1" applyBorder="1"/>
    <xf numFmtId="4" fontId="4" fillId="3" borderId="32" xfId="0" applyNumberFormat="1" applyFont="1" applyFill="1" applyBorder="1"/>
    <xf numFmtId="4" fontId="4" fillId="3" borderId="8" xfId="0" applyNumberFormat="1" applyFont="1" applyFill="1" applyBorder="1"/>
    <xf numFmtId="0" fontId="4" fillId="3" borderId="30" xfId="0" applyFont="1" applyFill="1" applyBorder="1"/>
    <xf numFmtId="0" fontId="9" fillId="3" borderId="0" xfId="0" applyFont="1" applyFill="1" applyAlignment="1">
      <alignment horizontal="center"/>
    </xf>
    <xf numFmtId="174" fontId="4" fillId="3" borderId="30" xfId="3" applyNumberFormat="1" applyFont="1" applyFill="1" applyBorder="1"/>
    <xf numFmtId="171" fontId="4" fillId="3" borderId="40" xfId="0" applyNumberFormat="1" applyFont="1" applyFill="1" applyBorder="1"/>
    <xf numFmtId="4" fontId="4" fillId="3" borderId="34" xfId="0" applyNumberFormat="1" applyFont="1" applyFill="1" applyBorder="1"/>
    <xf numFmtId="0" fontId="4" fillId="3" borderId="32" xfId="0" applyFont="1" applyFill="1" applyBorder="1"/>
    <xf numFmtId="3" fontId="4" fillId="3" borderId="32" xfId="0" applyNumberFormat="1" applyFont="1" applyFill="1" applyBorder="1" applyAlignment="1">
      <alignment horizontal="center"/>
    </xf>
    <xf numFmtId="3" fontId="4" fillId="3" borderId="32" xfId="0" applyNumberFormat="1" applyFont="1" applyFill="1" applyBorder="1"/>
    <xf numFmtId="44" fontId="4" fillId="3" borderId="30" xfId="3" applyFont="1" applyFill="1" applyBorder="1"/>
    <xf numFmtId="0" fontId="8" fillId="3" borderId="8" xfId="0" applyFont="1" applyFill="1" applyBorder="1"/>
    <xf numFmtId="0" fontId="4" fillId="3" borderId="8" xfId="0" applyFont="1" applyFill="1" applyBorder="1"/>
    <xf numFmtId="0" fontId="4" fillId="3" borderId="33" xfId="0" applyFont="1" applyFill="1" applyBorder="1"/>
    <xf numFmtId="0" fontId="4" fillId="3" borderId="34" xfId="0" applyFont="1" applyFill="1" applyBorder="1"/>
    <xf numFmtId="0" fontId="4" fillId="3" borderId="35" xfId="0" applyFont="1" applyFill="1" applyBorder="1"/>
    <xf numFmtId="0" fontId="4" fillId="3" borderId="36" xfId="0" applyFont="1" applyFill="1" applyBorder="1" applyAlignment="1">
      <alignment horizontal="center"/>
    </xf>
    <xf numFmtId="0" fontId="4" fillId="3" borderId="14" xfId="0" applyFont="1" applyFill="1" applyBorder="1"/>
    <xf numFmtId="171" fontId="4" fillId="3" borderId="35" xfId="0" applyNumberFormat="1" applyFont="1" applyFill="1" applyBorder="1"/>
    <xf numFmtId="172" fontId="4" fillId="3" borderId="40" xfId="0" applyNumberFormat="1" applyFont="1" applyFill="1" applyBorder="1" applyAlignment="1">
      <alignment horizontal="center"/>
    </xf>
    <xf numFmtId="4" fontId="4" fillId="3" borderId="40" xfId="0" applyNumberFormat="1" applyFont="1" applyFill="1" applyBorder="1" applyAlignment="1">
      <alignment horizontal="center"/>
    </xf>
    <xf numFmtId="173" fontId="4" fillId="3" borderId="35" xfId="0" applyNumberFormat="1" applyFont="1" applyFill="1" applyBorder="1" applyAlignment="1">
      <alignment horizontal="center"/>
    </xf>
    <xf numFmtId="172" fontId="4" fillId="3" borderId="40" xfId="0" applyNumberFormat="1" applyFont="1" applyFill="1" applyBorder="1"/>
    <xf numFmtId="44" fontId="4" fillId="3" borderId="31" xfId="3" applyFont="1" applyFill="1" applyBorder="1"/>
    <xf numFmtId="0" fontId="4" fillId="3" borderId="37" xfId="0" applyFont="1" applyFill="1" applyBorder="1" applyAlignment="1">
      <alignment horizontal="center"/>
    </xf>
    <xf numFmtId="175" fontId="4" fillId="3" borderId="35" xfId="0" applyNumberFormat="1" applyFont="1" applyFill="1" applyBorder="1"/>
    <xf numFmtId="9" fontId="4" fillId="3" borderId="40" xfId="0" applyNumberFormat="1" applyFont="1" applyFill="1" applyBorder="1" applyAlignment="1">
      <alignment horizontal="center"/>
    </xf>
    <xf numFmtId="44" fontId="4" fillId="3" borderId="45" xfId="3" applyFont="1" applyFill="1" applyBorder="1"/>
    <xf numFmtId="168" fontId="4" fillId="3" borderId="35" xfId="0" applyNumberFormat="1" applyFont="1" applyFill="1" applyBorder="1"/>
    <xf numFmtId="3" fontId="4" fillId="3" borderId="35" xfId="0" applyNumberFormat="1" applyFont="1" applyFill="1" applyBorder="1"/>
    <xf numFmtId="3" fontId="4" fillId="3" borderId="44" xfId="0" applyNumberFormat="1" applyFont="1" applyFill="1" applyBorder="1"/>
    <xf numFmtId="0" fontId="4" fillId="3" borderId="0" xfId="0" applyFont="1" applyFill="1" applyAlignment="1">
      <alignment horizontal="center"/>
    </xf>
    <xf numFmtId="3" fontId="4" fillId="3" borderId="31" xfId="0" applyNumberFormat="1" applyFont="1" applyFill="1" applyBorder="1"/>
    <xf numFmtId="0" fontId="9" fillId="3" borderId="6" xfId="0" applyFont="1" applyFill="1" applyBorder="1"/>
    <xf numFmtId="0" fontId="8" fillId="3" borderId="10" xfId="0" applyFont="1" applyFill="1" applyBorder="1"/>
    <xf numFmtId="0" fontId="0" fillId="3" borderId="14" xfId="0" applyFill="1" applyBorder="1" applyAlignment="1">
      <alignment horizontal="centerContinuous"/>
    </xf>
    <xf numFmtId="0" fontId="4" fillId="3" borderId="17" xfId="0" quotePrefix="1" applyFont="1" applyFill="1" applyBorder="1" applyAlignment="1">
      <alignment horizontal="center"/>
    </xf>
    <xf numFmtId="3" fontId="4" fillId="3" borderId="11" xfId="0" applyNumberFormat="1" applyFont="1" applyFill="1" applyBorder="1" applyAlignment="1">
      <alignment horizontal="center"/>
    </xf>
    <xf numFmtId="4" fontId="4" fillId="3" borderId="11" xfId="0" applyNumberFormat="1" applyFont="1" applyFill="1" applyBorder="1"/>
    <xf numFmtId="4" fontId="4" fillId="3" borderId="0" xfId="0" applyNumberFormat="1" applyFont="1" applyFill="1"/>
    <xf numFmtId="2" fontId="4" fillId="3" borderId="22" xfId="0" applyNumberFormat="1" applyFont="1" applyFill="1" applyBorder="1"/>
    <xf numFmtId="3" fontId="4" fillId="3" borderId="23" xfId="0" applyNumberFormat="1" applyFont="1" applyFill="1" applyBorder="1" applyAlignment="1">
      <alignment horizontal="center"/>
    </xf>
    <xf numFmtId="4" fontId="4" fillId="3" borderId="23" xfId="0" applyNumberFormat="1" applyFont="1" applyFill="1" applyBorder="1"/>
    <xf numFmtId="4" fontId="4" fillId="3" borderId="24" xfId="0" applyNumberFormat="1" applyFont="1" applyFill="1" applyBorder="1"/>
    <xf numFmtId="3" fontId="4" fillId="3" borderId="23" xfId="0" applyNumberFormat="1" applyFont="1" applyFill="1" applyBorder="1"/>
    <xf numFmtId="179" fontId="4" fillId="3" borderId="11" xfId="0" applyNumberFormat="1" applyFont="1" applyFill="1" applyBorder="1"/>
    <xf numFmtId="3" fontId="4" fillId="3" borderId="28" xfId="0" applyNumberFormat="1" applyFont="1" applyFill="1" applyBorder="1" applyAlignment="1">
      <alignment horizontal="center"/>
    </xf>
    <xf numFmtId="3" fontId="4" fillId="3" borderId="28" xfId="0" applyNumberFormat="1" applyFont="1" applyFill="1" applyBorder="1"/>
    <xf numFmtId="4" fontId="4" fillId="3" borderId="28" xfId="0" applyNumberFormat="1" applyFont="1" applyFill="1" applyBorder="1"/>
    <xf numFmtId="4" fontId="4" fillId="3" borderId="29" xfId="0" applyNumberFormat="1" applyFont="1" applyFill="1" applyBorder="1"/>
    <xf numFmtId="3" fontId="4" fillId="3" borderId="11" xfId="0" applyNumberFormat="1" applyFont="1" applyFill="1" applyBorder="1"/>
    <xf numFmtId="171" fontId="4" fillId="3" borderId="11" xfId="0" applyNumberFormat="1" applyFont="1" applyFill="1" applyBorder="1"/>
    <xf numFmtId="4" fontId="4" fillId="3" borderId="31" xfId="0" applyNumberFormat="1" applyFont="1" applyFill="1" applyBorder="1"/>
    <xf numFmtId="172" fontId="4" fillId="3" borderId="11" xfId="0" applyNumberFormat="1" applyFont="1" applyFill="1" applyBorder="1" applyAlignment="1">
      <alignment horizontal="center"/>
    </xf>
    <xf numFmtId="4" fontId="4" fillId="3" borderId="11" xfId="0" applyNumberFormat="1" applyFont="1" applyFill="1" applyBorder="1" applyAlignment="1">
      <alignment horizontal="center"/>
    </xf>
    <xf numFmtId="173" fontId="4" fillId="3" borderId="11" xfId="0" applyNumberFormat="1" applyFont="1" applyFill="1" applyBorder="1" applyAlignment="1">
      <alignment horizontal="center"/>
    </xf>
    <xf numFmtId="0" fontId="4" fillId="3" borderId="11" xfId="0" applyFont="1" applyFill="1" applyBorder="1"/>
    <xf numFmtId="172" fontId="4" fillId="3" borderId="11" xfId="0" applyNumberFormat="1" applyFont="1" applyFill="1" applyBorder="1"/>
    <xf numFmtId="0" fontId="4" fillId="3" borderId="25" xfId="0" applyFont="1" applyFill="1" applyBorder="1"/>
    <xf numFmtId="0" fontId="4" fillId="3" borderId="26" xfId="0" applyFont="1" applyFill="1" applyBorder="1"/>
    <xf numFmtId="0" fontId="4" fillId="3" borderId="0" xfId="0" applyFont="1" applyFill="1" applyAlignment="1">
      <alignment horizontal="centerContinuous"/>
    </xf>
    <xf numFmtId="4" fontId="4" fillId="29" borderId="40" xfId="0" applyNumberFormat="1" applyFont="1" applyFill="1" applyBorder="1"/>
    <xf numFmtId="168" fontId="4" fillId="29" borderId="35" xfId="0" applyNumberFormat="1" applyFont="1" applyFill="1" applyBorder="1"/>
    <xf numFmtId="9" fontId="4" fillId="29" borderId="40" xfId="0" applyNumberFormat="1" applyFont="1" applyFill="1" applyBorder="1" applyAlignment="1">
      <alignment horizontal="center"/>
    </xf>
    <xf numFmtId="0" fontId="0" fillId="0" borderId="0" xfId="0"/>
    <xf numFmtId="0" fontId="4" fillId="3" borderId="17" xfId="0" applyFont="1" applyFill="1" applyBorder="1" applyAlignment="1">
      <alignment horizontal="center"/>
    </xf>
    <xf numFmtId="0" fontId="11" fillId="0" borderId="0" xfId="0" applyFont="1"/>
    <xf numFmtId="170" fontId="0" fillId="0" borderId="0" xfId="0" applyNumberFormat="1"/>
    <xf numFmtId="0" fontId="6" fillId="0" borderId="3" xfId="2"/>
    <xf numFmtId="180" fontId="6" fillId="0" borderId="3" xfId="2" applyNumberFormat="1"/>
    <xf numFmtId="180" fontId="6" fillId="0" borderId="11" xfId="2" applyNumberFormat="1" applyBorder="1"/>
    <xf numFmtId="9" fontId="0" fillId="3" borderId="0" xfId="1" applyFont="1" applyFill="1"/>
    <xf numFmtId="181" fontId="4" fillId="3" borderId="30" xfId="3" applyNumberFormat="1" applyFont="1" applyFill="1" applyBorder="1"/>
    <xf numFmtId="3" fontId="4" fillId="30" borderId="31" xfId="0" applyNumberFormat="1" applyFont="1" applyFill="1" applyBorder="1"/>
    <xf numFmtId="4" fontId="4" fillId="29" borderId="45" xfId="0" applyNumberFormat="1" applyFont="1" applyFill="1" applyBorder="1"/>
    <xf numFmtId="0" fontId="4" fillId="3" borderId="15" xfId="0" applyFont="1" applyFill="1" applyBorder="1"/>
    <xf numFmtId="0" fontId="4" fillId="3" borderId="16" xfId="0" applyFont="1" applyFill="1" applyBorder="1"/>
    <xf numFmtId="0" fontId="4" fillId="3" borderId="37" xfId="0" applyFont="1" applyFill="1" applyBorder="1"/>
    <xf numFmtId="4" fontId="4" fillId="30" borderId="31" xfId="0" applyNumberFormat="1" applyFont="1" applyFill="1" applyBorder="1"/>
    <xf numFmtId="4" fontId="4" fillId="3" borderId="45" xfId="0" applyNumberFormat="1" applyFont="1" applyFill="1" applyBorder="1"/>
    <xf numFmtId="0" fontId="4" fillId="3" borderId="9" xfId="0" applyFont="1" applyFill="1" applyBorder="1"/>
    <xf numFmtId="3" fontId="4" fillId="3" borderId="54" xfId="0" applyNumberFormat="1" applyFont="1" applyFill="1" applyBorder="1" applyAlignment="1">
      <alignment horizontal="center"/>
    </xf>
    <xf numFmtId="0" fontId="32" fillId="0" borderId="11" xfId="2" applyFont="1" applyBorder="1" applyAlignment="1">
      <alignment horizontal="center" wrapText="1"/>
    </xf>
    <xf numFmtId="180" fontId="32" fillId="0" borderId="11" xfId="2" applyNumberFormat="1" applyFont="1" applyBorder="1" applyAlignment="1">
      <alignment horizontal="center" wrapText="1"/>
    </xf>
    <xf numFmtId="0" fontId="6" fillId="0" borderId="11" xfId="2" applyBorder="1"/>
    <xf numFmtId="0" fontId="11" fillId="0" borderId="11" xfId="2" applyFont="1" applyBorder="1"/>
    <xf numFmtId="0" fontId="11" fillId="0" borderId="11" xfId="2" applyFont="1" applyBorder="1" applyAlignment="1">
      <alignment horizontal="left" wrapText="1"/>
    </xf>
    <xf numFmtId="0" fontId="32" fillId="0" borderId="11" xfId="2" applyFont="1" applyBorder="1"/>
    <xf numFmtId="4" fontId="6" fillId="0" borderId="11" xfId="2" applyNumberFormat="1" applyBorder="1"/>
    <xf numFmtId="180" fontId="32" fillId="0" borderId="11" xfId="2" applyNumberFormat="1" applyFont="1" applyBorder="1"/>
    <xf numFmtId="180" fontId="32" fillId="26" borderId="3" xfId="2" applyNumberFormat="1" applyFont="1" applyFill="1"/>
    <xf numFmtId="10" fontId="32" fillId="0" borderId="11" xfId="2" applyNumberFormat="1" applyFont="1" applyBorder="1"/>
    <xf numFmtId="9" fontId="6" fillId="0" borderId="3" xfId="2" applyNumberFormat="1"/>
    <xf numFmtId="180" fontId="32" fillId="0" borderId="3" xfId="2" applyNumberFormat="1" applyFont="1"/>
    <xf numFmtId="44" fontId="0" fillId="0" borderId="11" xfId="3" applyFont="1" applyBorder="1"/>
    <xf numFmtId="0" fontId="11" fillId="0" borderId="11" xfId="0" applyFont="1" applyBorder="1"/>
    <xf numFmtId="0" fontId="11" fillId="0" borderId="11" xfId="0" applyFont="1" applyFill="1" applyBorder="1"/>
    <xf numFmtId="0" fontId="0" fillId="0" borderId="11" xfId="0" applyBorder="1"/>
    <xf numFmtId="167" fontId="9" fillId="0" borderId="11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82" fontId="0" fillId="0" borderId="11" xfId="0" applyNumberFormat="1" applyBorder="1"/>
    <xf numFmtId="169" fontId="0" fillId="0" borderId="0" xfId="0" applyNumberFormat="1"/>
    <xf numFmtId="0" fontId="0" fillId="27" borderId="11" xfId="0" applyFill="1" applyBorder="1"/>
    <xf numFmtId="9" fontId="0" fillId="27" borderId="11" xfId="0" applyNumberFormat="1" applyFill="1" applyBorder="1"/>
    <xf numFmtId="167" fontId="9" fillId="0" borderId="11" xfId="0" applyNumberFormat="1" applyFont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44" fontId="0" fillId="3" borderId="0" xfId="3" applyFont="1" applyFill="1"/>
    <xf numFmtId="168" fontId="4" fillId="3" borderId="0" xfId="0" applyNumberFormat="1" applyFont="1" applyFill="1"/>
    <xf numFmtId="168" fontId="4" fillId="3" borderId="22" xfId="0" applyNumberFormat="1" applyFont="1" applyFill="1" applyBorder="1"/>
    <xf numFmtId="167" fontId="9" fillId="0" borderId="59" xfId="0" applyNumberFormat="1" applyFont="1" applyBorder="1" applyAlignment="1">
      <alignment horizontal="center" vertical="center" wrapText="1"/>
    </xf>
    <xf numFmtId="2" fontId="4" fillId="0" borderId="11" xfId="0" applyNumberFormat="1" applyFont="1" applyBorder="1" applyAlignment="1">
      <alignment horizontal="center" vertical="center"/>
    </xf>
    <xf numFmtId="168" fontId="4" fillId="0" borderId="11" xfId="0" applyNumberFormat="1" applyFont="1" applyBorder="1" applyAlignment="1">
      <alignment horizontal="right" vertical="center" wrapText="1"/>
    </xf>
    <xf numFmtId="183" fontId="37" fillId="0" borderId="3" xfId="64" applyFont="1" applyAlignment="1">
      <alignment horizontal="center" vertical="center" wrapText="1"/>
    </xf>
    <xf numFmtId="183" fontId="37" fillId="0" borderId="3" xfId="64" applyFont="1" applyAlignment="1">
      <alignment vertical="center"/>
    </xf>
    <xf numFmtId="175" fontId="37" fillId="0" borderId="3" xfId="64" applyNumberFormat="1" applyFont="1" applyAlignment="1">
      <alignment vertical="center"/>
    </xf>
    <xf numFmtId="183" fontId="36" fillId="0" borderId="11" xfId="64" applyFont="1" applyBorder="1" applyAlignment="1">
      <alignment horizontal="left" vertical="center" wrapText="1"/>
    </xf>
    <xf numFmtId="175" fontId="37" fillId="0" borderId="11" xfId="64" applyNumberFormat="1" applyFont="1" applyBorder="1" applyAlignment="1">
      <alignment horizontal="center" vertical="center" wrapText="1"/>
    </xf>
    <xf numFmtId="185" fontId="38" fillId="0" borderId="11" xfId="1" applyNumberFormat="1" applyFont="1" applyFill="1" applyBorder="1" applyAlignment="1">
      <alignment horizontal="center" vertical="center"/>
    </xf>
    <xf numFmtId="10" fontId="37" fillId="0" borderId="11" xfId="1" applyNumberFormat="1" applyFont="1" applyFill="1" applyBorder="1" applyAlignment="1">
      <alignment horizontal="center" vertical="center" wrapText="1"/>
    </xf>
    <xf numFmtId="183" fontId="36" fillId="0" borderId="3" xfId="64" applyFont="1" applyAlignment="1">
      <alignment horizontal="center" vertical="center" wrapText="1"/>
    </xf>
    <xf numFmtId="175" fontId="37" fillId="0" borderId="3" xfId="64" applyNumberFormat="1" applyFont="1" applyAlignment="1">
      <alignment horizontal="center" vertical="center" wrapText="1"/>
    </xf>
    <xf numFmtId="183" fontId="36" fillId="0" borderId="11" xfId="64" applyFont="1" applyBorder="1" applyAlignment="1">
      <alignment horizontal="center" vertical="center" wrapText="1"/>
    </xf>
    <xf numFmtId="183" fontId="36" fillId="0" borderId="11" xfId="64" applyFont="1" applyBorder="1" applyAlignment="1">
      <alignment horizontal="justify" vertical="center" wrapText="1"/>
    </xf>
    <xf numFmtId="9" fontId="37" fillId="0" borderId="11" xfId="64" applyNumberFormat="1" applyFont="1" applyBorder="1" applyAlignment="1">
      <alignment horizontal="center" vertical="center" wrapText="1"/>
    </xf>
    <xf numFmtId="186" fontId="37" fillId="0" borderId="11" xfId="64" applyNumberFormat="1" applyFont="1" applyBorder="1" applyAlignment="1">
      <alignment horizontal="center" vertical="center"/>
    </xf>
    <xf numFmtId="10" fontId="37" fillId="0" borderId="11" xfId="1" applyNumberFormat="1" applyFont="1" applyFill="1" applyBorder="1" applyAlignment="1">
      <alignment horizontal="center" vertical="center"/>
    </xf>
    <xf numFmtId="175" fontId="37" fillId="0" borderId="11" xfId="64" applyNumberFormat="1" applyFont="1" applyBorder="1" applyAlignment="1">
      <alignment vertical="center"/>
    </xf>
    <xf numFmtId="183" fontId="36" fillId="0" borderId="11" xfId="64" applyFont="1" applyBorder="1" applyAlignment="1">
      <alignment horizontal="center" vertical="center"/>
    </xf>
    <xf numFmtId="175" fontId="36" fillId="0" borderId="11" xfId="64" applyNumberFormat="1" applyFont="1" applyBorder="1" applyAlignment="1">
      <alignment horizontal="center" vertical="center"/>
    </xf>
    <xf numFmtId="5" fontId="37" fillId="0" borderId="11" xfId="64" applyNumberFormat="1" applyFont="1" applyBorder="1" applyAlignment="1">
      <alignment horizontal="center" vertical="center" wrapText="1"/>
    </xf>
    <xf numFmtId="185" fontId="37" fillId="0" borderId="11" xfId="64" applyNumberFormat="1" applyFont="1" applyBorder="1" applyAlignment="1">
      <alignment horizontal="center" vertical="center" wrapText="1"/>
    </xf>
    <xf numFmtId="10" fontId="37" fillId="0" borderId="11" xfId="64" applyNumberFormat="1" applyFont="1" applyBorder="1" applyAlignment="1">
      <alignment horizontal="center" vertical="center"/>
    </xf>
    <xf numFmtId="168" fontId="37" fillId="0" borderId="11" xfId="3" applyNumberFormat="1" applyFont="1" applyFill="1" applyBorder="1" applyAlignment="1">
      <alignment vertical="center"/>
    </xf>
    <xf numFmtId="0" fontId="4" fillId="3" borderId="19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60" xfId="0" applyFont="1" applyFill="1" applyBorder="1" applyAlignment="1">
      <alignment horizontal="center"/>
    </xf>
    <xf numFmtId="0" fontId="4" fillId="3" borderId="56" xfId="0" applyFont="1" applyFill="1" applyBorder="1" applyAlignment="1">
      <alignment horizontal="center"/>
    </xf>
    <xf numFmtId="3" fontId="39" fillId="3" borderId="3" xfId="0" applyNumberFormat="1" applyFont="1" applyFill="1" applyBorder="1"/>
    <xf numFmtId="4" fontId="4" fillId="3" borderId="9" xfId="0" applyNumberFormat="1" applyFont="1" applyFill="1" applyBorder="1"/>
    <xf numFmtId="2" fontId="5" fillId="0" borderId="5" xfId="0" applyNumberFormat="1" applyFont="1" applyBorder="1" applyAlignment="1">
      <alignment horizontal="center" vertical="center" wrapText="1"/>
    </xf>
    <xf numFmtId="2" fontId="0" fillId="0" borderId="11" xfId="0" applyNumberFormat="1" applyBorder="1"/>
    <xf numFmtId="2" fontId="0" fillId="0" borderId="0" xfId="0" applyNumberFormat="1"/>
    <xf numFmtId="44" fontId="4" fillId="30" borderId="31" xfId="3" applyFont="1" applyFill="1" applyBorder="1"/>
    <xf numFmtId="0" fontId="0" fillId="0" borderId="0" xfId="0" applyNumberFormat="1"/>
    <xf numFmtId="1" fontId="5" fillId="0" borderId="11" xfId="0" applyNumberFormat="1" applyFont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4" fillId="3" borderId="60" xfId="0" applyFont="1" applyFill="1" applyBorder="1" applyAlignment="1">
      <alignment horizontal="center"/>
    </xf>
    <xf numFmtId="0" fontId="4" fillId="3" borderId="56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174" fontId="4" fillId="3" borderId="40" xfId="0" applyNumberFormat="1" applyFont="1" applyFill="1" applyBorder="1" applyAlignment="1">
      <alignment horizontal="right"/>
    </xf>
    <xf numFmtId="0" fontId="4" fillId="3" borderId="20" xfId="0" applyFont="1" applyFill="1" applyBorder="1" applyAlignment="1">
      <alignment horizontal="center"/>
    </xf>
    <xf numFmtId="0" fontId="0" fillId="26" borderId="0" xfId="0" applyFill="1"/>
    <xf numFmtId="16" fontId="11" fillId="0" borderId="0" xfId="0" applyNumberFormat="1" applyFont="1"/>
    <xf numFmtId="44" fontId="0" fillId="0" borderId="0" xfId="0" applyNumberFormat="1"/>
    <xf numFmtId="0" fontId="11" fillId="0" borderId="0" xfId="0" applyFont="1" applyAlignment="1">
      <alignment wrapText="1"/>
    </xf>
    <xf numFmtId="167" fontId="9" fillId="0" borderId="57" xfId="0" applyNumberFormat="1" applyFont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20" xfId="0" applyFont="1" applyFill="1" applyBorder="1" applyAlignment="1">
      <alignment horizontal="center"/>
    </xf>
    <xf numFmtId="9" fontId="4" fillId="3" borderId="40" xfId="0" applyNumberFormat="1" applyFont="1" applyFill="1" applyBorder="1" applyAlignment="1">
      <alignment horizontal="right"/>
    </xf>
    <xf numFmtId="167" fontId="9" fillId="0" borderId="75" xfId="0" applyNumberFormat="1" applyFont="1" applyBorder="1" applyAlignment="1">
      <alignment horizontal="center" vertical="center" wrapText="1"/>
    </xf>
    <xf numFmtId="170" fontId="9" fillId="0" borderId="67" xfId="0" applyNumberFormat="1" applyFont="1" applyBorder="1" applyAlignment="1">
      <alignment horizontal="right" vertical="center" wrapText="1"/>
    </xf>
    <xf numFmtId="0" fontId="5" fillId="0" borderId="66" xfId="0" applyFont="1" applyBorder="1" applyAlignment="1">
      <alignment horizontal="center" vertical="center" wrapText="1"/>
    </xf>
    <xf numFmtId="170" fontId="9" fillId="0" borderId="24" xfId="0" applyNumberFormat="1" applyFont="1" applyBorder="1" applyAlignment="1">
      <alignment horizontal="right" vertical="center" wrapText="1"/>
    </xf>
    <xf numFmtId="170" fontId="7" fillId="0" borderId="20" xfId="0" applyNumberFormat="1" applyFont="1" applyBorder="1" applyAlignment="1">
      <alignment vertical="center" wrapText="1"/>
    </xf>
    <xf numFmtId="44" fontId="0" fillId="0" borderId="11" xfId="3" applyNumberFormat="1" applyFont="1" applyBorder="1"/>
    <xf numFmtId="190" fontId="32" fillId="27" borderId="11" xfId="2" applyNumberFormat="1" applyFont="1" applyFill="1" applyBorder="1"/>
    <xf numFmtId="0" fontId="5" fillId="0" borderId="66" xfId="0" applyFont="1" applyFill="1" applyBorder="1" applyAlignment="1">
      <alignment horizontal="center" vertical="center" wrapText="1"/>
    </xf>
    <xf numFmtId="2" fontId="4" fillId="0" borderId="11" xfId="0" applyNumberFormat="1" applyFont="1" applyFill="1" applyBorder="1" applyAlignment="1">
      <alignment horizontal="center" vertical="center"/>
    </xf>
    <xf numFmtId="168" fontId="4" fillId="0" borderId="11" xfId="0" applyNumberFormat="1" applyFont="1" applyFill="1" applyBorder="1" applyAlignment="1">
      <alignment horizontal="right" vertical="center" wrapText="1"/>
    </xf>
    <xf numFmtId="189" fontId="4" fillId="0" borderId="66" xfId="0" applyNumberFormat="1" applyFont="1" applyBorder="1" applyAlignment="1">
      <alignment horizontal="center" vertical="center"/>
    </xf>
    <xf numFmtId="0" fontId="4" fillId="0" borderId="66" xfId="0" applyNumberFormat="1" applyFont="1" applyBorder="1" applyAlignment="1">
      <alignment horizontal="center" vertical="center"/>
    </xf>
    <xf numFmtId="2" fontId="4" fillId="0" borderId="66" xfId="0" applyNumberFormat="1" applyFont="1" applyBorder="1" applyAlignment="1">
      <alignment horizontal="center" vertical="center" wrapText="1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66" xfId="0" applyNumberFormat="1" applyFont="1" applyBorder="1" applyAlignment="1">
      <alignment horizontal="center" vertical="center" wrapText="1"/>
    </xf>
    <xf numFmtId="0" fontId="5" fillId="0" borderId="66" xfId="0" applyNumberFormat="1" applyFont="1" applyBorder="1" applyAlignment="1">
      <alignment horizontal="center" vertical="center" wrapText="1"/>
    </xf>
    <xf numFmtId="0" fontId="5" fillId="0" borderId="11" xfId="0" applyNumberFormat="1" applyFont="1" applyBorder="1" applyAlignment="1">
      <alignment horizontal="center" vertical="center" wrapText="1"/>
    </xf>
    <xf numFmtId="0" fontId="0" fillId="0" borderId="3" xfId="0" applyFill="1" applyBorder="1"/>
    <xf numFmtId="0" fontId="11" fillId="0" borderId="3" xfId="106" applyFill="1" applyBorder="1"/>
    <xf numFmtId="0" fontId="11" fillId="0" borderId="3" xfId="106" applyFont="1" applyFill="1" applyBorder="1" applyAlignment="1">
      <alignment horizontal="center"/>
    </xf>
    <xf numFmtId="10" fontId="11" fillId="0" borderId="3" xfId="106" applyNumberFormat="1" applyFont="1" applyFill="1" applyBorder="1" applyAlignment="1">
      <alignment horizontal="center"/>
    </xf>
    <xf numFmtId="9" fontId="11" fillId="0" borderId="3" xfId="106" applyNumberFormat="1" applyFill="1" applyBorder="1"/>
    <xf numFmtId="175" fontId="7" fillId="0" borderId="13" xfId="0" applyNumberFormat="1" applyFont="1" applyBorder="1" applyAlignment="1">
      <alignment vertical="center" wrapText="1"/>
    </xf>
    <xf numFmtId="168" fontId="7" fillId="0" borderId="69" xfId="0" applyNumberFormat="1" applyFont="1" applyBorder="1" applyAlignment="1">
      <alignment vertical="center" wrapText="1"/>
    </xf>
    <xf numFmtId="0" fontId="5" fillId="0" borderId="74" xfId="0" applyFont="1" applyFill="1" applyBorder="1" applyAlignment="1">
      <alignment horizontal="center" vertical="center" wrapText="1"/>
    </xf>
    <xf numFmtId="2" fontId="4" fillId="0" borderId="37" xfId="0" applyNumberFormat="1" applyFont="1" applyFill="1" applyBorder="1" applyAlignment="1">
      <alignment horizontal="center" vertical="center"/>
    </xf>
    <xf numFmtId="168" fontId="4" fillId="0" borderId="37" xfId="0" applyNumberFormat="1" applyFont="1" applyFill="1" applyBorder="1" applyAlignment="1">
      <alignment horizontal="right" vertical="center" wrapText="1"/>
    </xf>
    <xf numFmtId="170" fontId="9" fillId="0" borderId="78" xfId="0" applyNumberFormat="1" applyFont="1" applyBorder="1" applyAlignment="1">
      <alignment horizontal="right" vertical="center" wrapText="1"/>
    </xf>
    <xf numFmtId="2" fontId="4" fillId="0" borderId="74" xfId="0" applyNumberFormat="1" applyFont="1" applyBorder="1" applyAlignment="1">
      <alignment horizontal="center" vertical="center" wrapText="1"/>
    </xf>
    <xf numFmtId="0" fontId="4" fillId="0" borderId="37" xfId="0" applyNumberFormat="1" applyFont="1" applyBorder="1" applyAlignment="1">
      <alignment horizontal="center" vertical="center" wrapText="1"/>
    </xf>
    <xf numFmtId="170" fontId="9" fillId="0" borderId="68" xfId="0" applyNumberFormat="1" applyFont="1" applyBorder="1" applyAlignment="1">
      <alignment horizontal="right" vertical="center" wrapText="1"/>
    </xf>
    <xf numFmtId="167" fontId="9" fillId="0" borderId="82" xfId="0" applyNumberFormat="1" applyFont="1" applyBorder="1" applyAlignment="1">
      <alignment horizontal="center" vertical="center" wrapText="1"/>
    </xf>
    <xf numFmtId="170" fontId="31" fillId="27" borderId="55" xfId="0" applyNumberFormat="1" applyFont="1" applyFill="1" applyBorder="1"/>
    <xf numFmtId="44" fontId="0" fillId="27" borderId="55" xfId="3" applyFont="1" applyFill="1" applyBorder="1"/>
    <xf numFmtId="44" fontId="0" fillId="27" borderId="55" xfId="3" applyNumberFormat="1" applyFont="1" applyFill="1" applyBorder="1"/>
    <xf numFmtId="2" fontId="4" fillId="0" borderId="86" xfId="0" applyNumberFormat="1" applyFont="1" applyBorder="1" applyAlignment="1">
      <alignment horizontal="center" vertical="center"/>
    </xf>
    <xf numFmtId="0" fontId="4" fillId="0" borderId="87" xfId="0" applyNumberFormat="1" applyFont="1" applyBorder="1" applyAlignment="1">
      <alignment horizontal="center" vertical="center" wrapText="1"/>
    </xf>
    <xf numFmtId="170" fontId="9" fillId="0" borderId="88" xfId="0" applyNumberFormat="1" applyFont="1" applyBorder="1" applyAlignment="1">
      <alignment horizontal="right" vertical="center" wrapText="1"/>
    </xf>
    <xf numFmtId="170" fontId="10" fillId="0" borderId="85" xfId="0" applyNumberFormat="1" applyFont="1" applyBorder="1" applyAlignment="1">
      <alignment horizontal="right" vertical="center" wrapText="1"/>
    </xf>
    <xf numFmtId="170" fontId="0" fillId="0" borderId="85" xfId="0" applyNumberFormat="1" applyBorder="1"/>
    <xf numFmtId="9" fontId="0" fillId="0" borderId="85" xfId="1" applyFont="1" applyBorder="1"/>
    <xf numFmtId="170" fontId="31" fillId="0" borderId="85" xfId="0" applyNumberFormat="1" applyFont="1" applyFill="1" applyBorder="1"/>
    <xf numFmtId="44" fontId="0" fillId="0" borderId="85" xfId="3" applyFont="1" applyFill="1" applyBorder="1"/>
    <xf numFmtId="44" fontId="0" fillId="0" borderId="85" xfId="3" applyNumberFormat="1" applyFont="1" applyFill="1" applyBorder="1"/>
    <xf numFmtId="0" fontId="5" fillId="0" borderId="86" xfId="0" applyFont="1" applyBorder="1" applyAlignment="1">
      <alignment horizontal="center" vertical="center" wrapText="1"/>
    </xf>
    <xf numFmtId="2" fontId="4" fillId="0" borderId="89" xfId="0" applyNumberFormat="1" applyFont="1" applyBorder="1" applyAlignment="1">
      <alignment horizontal="center" vertical="center"/>
    </xf>
    <xf numFmtId="168" fontId="4" fillId="0" borderId="89" xfId="0" applyNumberFormat="1" applyFont="1" applyBorder="1" applyAlignment="1">
      <alignment horizontal="right" vertical="center" wrapText="1"/>
    </xf>
    <xf numFmtId="170" fontId="9" fillId="0" borderId="90" xfId="0" applyNumberFormat="1" applyFont="1" applyBorder="1" applyAlignment="1">
      <alignment horizontal="right" vertical="center" wrapText="1"/>
    </xf>
    <xf numFmtId="0" fontId="0" fillId="0" borderId="3" xfId="0" applyBorder="1"/>
    <xf numFmtId="10" fontId="11" fillId="0" borderId="35" xfId="0" applyNumberFormat="1" applyFont="1" applyBorder="1" applyAlignment="1">
      <alignment horizontal="center"/>
    </xf>
    <xf numFmtId="169" fontId="0" fillId="0" borderId="91" xfId="0" applyNumberFormat="1" applyBorder="1"/>
    <xf numFmtId="0" fontId="4" fillId="0" borderId="85" xfId="0" applyFont="1" applyBorder="1" applyAlignment="1">
      <alignment horizontal="left"/>
    </xf>
    <xf numFmtId="2" fontId="9" fillId="0" borderId="11" xfId="3" applyNumberFormat="1" applyFont="1" applyBorder="1" applyAlignment="1">
      <alignment horizontal="right" vertical="center" wrapText="1"/>
    </xf>
    <xf numFmtId="2" fontId="9" fillId="0" borderId="37" xfId="3" applyNumberFormat="1" applyFont="1" applyBorder="1" applyAlignment="1">
      <alignment horizontal="right" vertical="center" wrapText="1"/>
    </xf>
    <xf numFmtId="2" fontId="9" fillId="0" borderId="87" xfId="3" applyNumberFormat="1" applyFont="1" applyBorder="1" applyAlignment="1">
      <alignment horizontal="right" vertical="center" wrapText="1"/>
    </xf>
    <xf numFmtId="2" fontId="5" fillId="0" borderId="11" xfId="0" applyNumberFormat="1" applyFont="1" applyBorder="1" applyAlignment="1">
      <alignment horizontal="left" vertical="center" wrapText="1"/>
    </xf>
    <xf numFmtId="0" fontId="11" fillId="0" borderId="3" xfId="0" applyFont="1" applyBorder="1" applyAlignment="1">
      <alignment horizontal="right"/>
    </xf>
    <xf numFmtId="0" fontId="11" fillId="0" borderId="41" xfId="0" applyFont="1" applyBorder="1" applyAlignment="1">
      <alignment horizontal="right"/>
    </xf>
    <xf numFmtId="2" fontId="5" fillId="0" borderId="37" xfId="0" applyNumberFormat="1" applyFont="1" applyFill="1" applyBorder="1" applyAlignment="1">
      <alignment horizontal="left" vertical="center" wrapText="1"/>
    </xf>
    <xf numFmtId="0" fontId="5" fillId="0" borderId="37" xfId="0" applyNumberFormat="1" applyFont="1" applyFill="1" applyBorder="1" applyAlignment="1">
      <alignment horizontal="left" vertical="center" wrapText="1"/>
    </xf>
    <xf numFmtId="2" fontId="5" fillId="0" borderId="11" xfId="0" applyNumberFormat="1" applyFont="1" applyFill="1" applyBorder="1" applyAlignment="1">
      <alignment horizontal="left" vertical="center" wrapText="1"/>
    </xf>
    <xf numFmtId="167" fontId="5" fillId="0" borderId="24" xfId="0" applyNumberFormat="1" applyFont="1" applyFill="1" applyBorder="1" applyAlignment="1">
      <alignment horizontal="left" vertical="center" wrapText="1"/>
    </xf>
    <xf numFmtId="167" fontId="5" fillId="0" borderId="20" xfId="0" applyNumberFormat="1" applyFont="1" applyFill="1" applyBorder="1" applyAlignment="1">
      <alignment horizontal="left" vertical="center" wrapText="1"/>
    </xf>
    <xf numFmtId="167" fontId="5" fillId="0" borderId="21" xfId="0" applyNumberFormat="1" applyFont="1" applyFill="1" applyBorder="1" applyAlignment="1">
      <alignment horizontal="left" vertical="center" wrapText="1"/>
    </xf>
    <xf numFmtId="167" fontId="5" fillId="0" borderId="11" xfId="0" applyNumberFormat="1" applyFont="1" applyBorder="1" applyAlignment="1">
      <alignment horizontal="left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167" fontId="5" fillId="0" borderId="11" xfId="0" applyNumberFormat="1" applyFont="1" applyFill="1" applyBorder="1" applyAlignment="1">
      <alignment horizontal="left" vertical="center" wrapText="1"/>
    </xf>
    <xf numFmtId="0" fontId="31" fillId="0" borderId="3" xfId="106" applyFont="1" applyFill="1" applyBorder="1" applyAlignment="1">
      <alignment horizontal="center"/>
    </xf>
    <xf numFmtId="2" fontId="9" fillId="0" borderId="3" xfId="106" applyNumberFormat="1" applyFont="1" applyFill="1" applyBorder="1" applyAlignment="1">
      <alignment horizontal="center" vertical="center"/>
    </xf>
    <xf numFmtId="0" fontId="6" fillId="0" borderId="3" xfId="106" applyFont="1" applyFill="1" applyBorder="1"/>
    <xf numFmtId="0" fontId="5" fillId="0" borderId="24" xfId="0" applyNumberFormat="1" applyFont="1" applyBorder="1" applyAlignment="1">
      <alignment horizontal="center" vertical="center" wrapText="1"/>
    </xf>
    <xf numFmtId="0" fontId="5" fillId="0" borderId="20" xfId="0" applyNumberFormat="1" applyFont="1" applyBorder="1" applyAlignment="1">
      <alignment horizontal="center" vertical="center" wrapText="1"/>
    </xf>
    <xf numFmtId="0" fontId="5" fillId="0" borderId="21" xfId="0" applyNumberFormat="1" applyFont="1" applyBorder="1" applyAlignment="1">
      <alignment horizontal="center" vertical="center" wrapText="1"/>
    </xf>
    <xf numFmtId="167" fontId="5" fillId="0" borderId="11" xfId="0" applyNumberFormat="1" applyFont="1" applyBorder="1" applyAlignment="1">
      <alignment horizontal="center" vertical="center" wrapText="1"/>
    </xf>
    <xf numFmtId="167" fontId="5" fillId="0" borderId="89" xfId="0" applyNumberFormat="1" applyFont="1" applyBorder="1" applyAlignment="1">
      <alignment horizontal="center" vertical="center" wrapText="1"/>
    </xf>
    <xf numFmtId="0" fontId="31" fillId="27" borderId="24" xfId="0" applyFont="1" applyFill="1" applyBorder="1" applyAlignment="1">
      <alignment horizontal="center"/>
    </xf>
    <xf numFmtId="0" fontId="31" fillId="27" borderId="21" xfId="0" applyFont="1" applyFill="1" applyBorder="1" applyAlignment="1">
      <alignment horizontal="center"/>
    </xf>
    <xf numFmtId="167" fontId="9" fillId="0" borderId="85" xfId="0" applyNumberFormat="1" applyFont="1" applyBorder="1" applyAlignment="1">
      <alignment horizontal="right" vertical="center" wrapText="1"/>
    </xf>
    <xf numFmtId="2" fontId="9" fillId="0" borderId="85" xfId="0" applyNumberFormat="1" applyFont="1" applyBorder="1" applyAlignment="1">
      <alignment horizontal="center" vertical="center"/>
    </xf>
    <xf numFmtId="0" fontId="7" fillId="2" borderId="79" xfId="0" applyFont="1" applyFill="1" applyBorder="1" applyAlignment="1">
      <alignment horizontal="center" vertical="center" wrapText="1"/>
    </xf>
    <xf numFmtId="0" fontId="7" fillId="2" borderId="80" xfId="0" applyFont="1" applyFill="1" applyBorder="1" applyAlignment="1">
      <alignment horizontal="center" vertical="center" wrapText="1"/>
    </xf>
    <xf numFmtId="0" fontId="7" fillId="2" borderId="81" xfId="0" applyFont="1" applyFill="1" applyBorder="1" applyAlignment="1">
      <alignment horizontal="center" vertical="center" wrapText="1"/>
    </xf>
    <xf numFmtId="0" fontId="7" fillId="2" borderId="74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68" xfId="0" applyFont="1" applyFill="1" applyBorder="1" applyAlignment="1">
      <alignment horizontal="center" vertical="center" wrapText="1"/>
    </xf>
    <xf numFmtId="0" fontId="7" fillId="2" borderId="6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67" xfId="0" applyFont="1" applyFill="1" applyBorder="1" applyAlignment="1">
      <alignment horizontal="center" vertical="center" wrapText="1"/>
    </xf>
    <xf numFmtId="0" fontId="7" fillId="2" borderId="64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65" xfId="0" applyFont="1" applyFill="1" applyBorder="1" applyAlignment="1">
      <alignment horizontal="center" vertical="center" wrapText="1"/>
    </xf>
    <xf numFmtId="168" fontId="7" fillId="0" borderId="77" xfId="0" applyNumberFormat="1" applyFont="1" applyBorder="1" applyAlignment="1">
      <alignment horizontal="center" vertical="center" wrapText="1"/>
    </xf>
    <xf numFmtId="168" fontId="7" fillId="0" borderId="76" xfId="0" applyNumberFormat="1" applyFont="1" applyBorder="1" applyAlignment="1">
      <alignment horizontal="center" vertical="center" wrapText="1"/>
    </xf>
    <xf numFmtId="0" fontId="7" fillId="2" borderId="83" xfId="0" applyFont="1" applyFill="1" applyBorder="1" applyAlignment="1">
      <alignment horizontal="center" vertical="center" wrapText="1"/>
    </xf>
    <xf numFmtId="0" fontId="7" fillId="2" borderId="84" xfId="0" applyFont="1" applyFill="1" applyBorder="1" applyAlignment="1">
      <alignment horizontal="center" vertical="center" wrapText="1"/>
    </xf>
    <xf numFmtId="167" fontId="9" fillId="0" borderId="57" xfId="0" applyNumberFormat="1" applyFont="1" applyBorder="1" applyAlignment="1">
      <alignment horizontal="center" vertical="center" wrapText="1"/>
    </xf>
    <xf numFmtId="0" fontId="6" fillId="0" borderId="3" xfId="0" applyFont="1" applyBorder="1"/>
    <xf numFmtId="0" fontId="6" fillId="0" borderId="58" xfId="0" applyFont="1" applyBorder="1"/>
    <xf numFmtId="167" fontId="7" fillId="0" borderId="12" xfId="0" applyNumberFormat="1" applyFont="1" applyBorder="1" applyAlignment="1">
      <alignment horizontal="center" vertical="center" wrapText="1"/>
    </xf>
    <xf numFmtId="167" fontId="7" fillId="0" borderId="13" xfId="0" applyNumberFormat="1" applyFont="1" applyBorder="1" applyAlignment="1">
      <alignment horizontal="center" vertical="center" wrapText="1"/>
    </xf>
    <xf numFmtId="184" fontId="37" fillId="0" borderId="55" xfId="64" applyNumberFormat="1" applyFont="1" applyBorder="1" applyAlignment="1">
      <alignment horizontal="center" vertical="center" wrapText="1"/>
    </xf>
    <xf numFmtId="184" fontId="37" fillId="0" borderId="56" xfId="64" applyNumberFormat="1" applyFont="1" applyBorder="1" applyAlignment="1">
      <alignment horizontal="center" vertical="center" wrapText="1"/>
    </xf>
    <xf numFmtId="186" fontId="38" fillId="0" borderId="11" xfId="1" applyNumberFormat="1" applyFont="1" applyFill="1" applyBorder="1" applyAlignment="1">
      <alignment horizontal="center" vertical="center"/>
    </xf>
    <xf numFmtId="0" fontId="32" fillId="0" borderId="11" xfId="2" applyFont="1" applyBorder="1" applyAlignment="1">
      <alignment horizontal="left"/>
    </xf>
    <xf numFmtId="0" fontId="6" fillId="28" borderId="24" xfId="2" applyFill="1" applyBorder="1" applyAlignment="1">
      <alignment horizontal="center"/>
    </xf>
    <xf numFmtId="0" fontId="6" fillId="28" borderId="20" xfId="2" applyFill="1" applyBorder="1" applyAlignment="1">
      <alignment horizontal="center"/>
    </xf>
    <xf numFmtId="0" fontId="6" fillId="28" borderId="21" xfId="2" applyFill="1" applyBorder="1" applyAlignment="1">
      <alignment horizontal="center"/>
    </xf>
    <xf numFmtId="0" fontId="32" fillId="0" borderId="24" xfId="2" applyFont="1" applyBorder="1" applyAlignment="1">
      <alignment horizontal="center"/>
    </xf>
    <xf numFmtId="0" fontId="32" fillId="0" borderId="20" xfId="2" applyFont="1" applyBorder="1" applyAlignment="1">
      <alignment horizontal="center"/>
    </xf>
    <xf numFmtId="0" fontId="32" fillId="0" borderId="21" xfId="2" applyFont="1" applyBorder="1" applyAlignment="1">
      <alignment horizontal="center"/>
    </xf>
    <xf numFmtId="183" fontId="36" fillId="0" borderId="55" xfId="64" applyFont="1" applyBorder="1" applyAlignment="1">
      <alignment horizontal="center" vertical="center"/>
    </xf>
    <xf numFmtId="183" fontId="36" fillId="0" borderId="60" xfId="64" applyFont="1" applyBorder="1" applyAlignment="1">
      <alignment horizontal="center" vertical="center"/>
    </xf>
    <xf numFmtId="183" fontId="36" fillId="0" borderId="56" xfId="64" applyFont="1" applyBorder="1" applyAlignment="1">
      <alignment horizontal="center" vertical="center"/>
    </xf>
    <xf numFmtId="175" fontId="37" fillId="0" borderId="11" xfId="64" applyNumberFormat="1" applyFont="1" applyBorder="1" applyAlignment="1">
      <alignment horizontal="center" vertical="center" wrapText="1"/>
    </xf>
    <xf numFmtId="183" fontId="36" fillId="0" borderId="11" xfId="64" applyFont="1" applyBorder="1" applyAlignment="1">
      <alignment horizontal="center" vertical="center" wrapText="1"/>
    </xf>
    <xf numFmtId="183" fontId="36" fillId="0" borderId="11" xfId="64" applyFont="1" applyBorder="1" applyAlignment="1">
      <alignment horizontal="center" vertical="center"/>
    </xf>
    <xf numFmtId="183" fontId="36" fillId="0" borderId="11" xfId="64" applyFont="1" applyBorder="1" applyAlignment="1">
      <alignment horizontal="right" vertical="center" wrapText="1"/>
    </xf>
    <xf numFmtId="175" fontId="36" fillId="0" borderId="11" xfId="64" applyNumberFormat="1" applyFont="1" applyBorder="1" applyAlignment="1">
      <alignment horizontal="center" vertical="center"/>
    </xf>
    <xf numFmtId="183" fontId="36" fillId="0" borderId="55" xfId="64" applyFont="1" applyBorder="1" applyAlignment="1">
      <alignment horizontal="center" vertical="center" wrapText="1"/>
    </xf>
    <xf numFmtId="183" fontId="36" fillId="0" borderId="56" xfId="64" applyFont="1" applyBorder="1" applyAlignment="1">
      <alignment horizontal="center" vertical="center" wrapText="1"/>
    </xf>
    <xf numFmtId="175" fontId="37" fillId="0" borderId="55" xfId="64" applyNumberFormat="1" applyFont="1" applyBorder="1" applyAlignment="1">
      <alignment horizontal="center" vertical="center" wrapText="1"/>
    </xf>
    <xf numFmtId="175" fontId="37" fillId="0" borderId="56" xfId="64" applyNumberFormat="1" applyFont="1" applyBorder="1" applyAlignment="1">
      <alignment horizontal="center" vertical="center" wrapText="1"/>
    </xf>
    <xf numFmtId="167" fontId="9" fillId="0" borderId="11" xfId="0" applyNumberFormat="1" applyFont="1" applyBorder="1" applyAlignment="1">
      <alignment horizontal="center" vertical="center" wrapText="1"/>
    </xf>
    <xf numFmtId="0" fontId="6" fillId="0" borderId="11" xfId="0" applyFont="1" applyBorder="1"/>
    <xf numFmtId="167" fontId="9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/>
    <xf numFmtId="0" fontId="6" fillId="0" borderId="4" xfId="0" applyFont="1" applyBorder="1"/>
    <xf numFmtId="2" fontId="5" fillId="0" borderId="1" xfId="0" applyNumberFormat="1" applyFont="1" applyBorder="1" applyAlignment="1">
      <alignment horizontal="left" vertical="center" wrapText="1"/>
    </xf>
    <xf numFmtId="2" fontId="5" fillId="0" borderId="4" xfId="0" applyNumberFormat="1" applyFont="1" applyBorder="1" applyAlignment="1">
      <alignment horizontal="left" vertical="center" wrapText="1"/>
    </xf>
    <xf numFmtId="0" fontId="4" fillId="3" borderId="19" xfId="0" applyFont="1" applyFill="1" applyBorder="1" applyAlignment="1">
      <alignment horizontal="center"/>
    </xf>
    <xf numFmtId="0" fontId="4" fillId="3" borderId="60" xfId="0" applyFont="1" applyFill="1" applyBorder="1" applyAlignment="1">
      <alignment horizontal="center"/>
    </xf>
    <xf numFmtId="0" fontId="4" fillId="3" borderId="56" xfId="0" applyFont="1" applyFill="1" applyBorder="1" applyAlignment="1">
      <alignment horizontal="center"/>
    </xf>
    <xf numFmtId="0" fontId="4" fillId="3" borderId="61" xfId="0" applyFont="1" applyFill="1" applyBorder="1" applyAlignment="1">
      <alignment horizontal="center"/>
    </xf>
    <xf numFmtId="0" fontId="4" fillId="3" borderId="62" xfId="0" applyFont="1" applyFill="1" applyBorder="1" applyAlignment="1">
      <alignment horizontal="center"/>
    </xf>
    <xf numFmtId="0" fontId="4" fillId="3" borderId="63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12" fillId="29" borderId="19" xfId="0" applyFont="1" applyFill="1" applyBorder="1" applyAlignment="1">
      <alignment horizontal="left" vertical="center"/>
    </xf>
    <xf numFmtId="0" fontId="12" fillId="29" borderId="21" xfId="0" applyFont="1" applyFill="1" applyBorder="1" applyAlignment="1">
      <alignment horizontal="left" vertical="center"/>
    </xf>
    <xf numFmtId="0" fontId="12" fillId="3" borderId="20" xfId="0" applyFont="1" applyFill="1" applyBorder="1" applyAlignment="1">
      <alignment horizontal="left" vertical="center"/>
    </xf>
    <xf numFmtId="0" fontId="4" fillId="3" borderId="19" xfId="0" applyFont="1" applyFill="1" applyBorder="1" applyAlignment="1">
      <alignment horizontal="left"/>
    </xf>
    <xf numFmtId="0" fontId="4" fillId="3" borderId="20" xfId="0" applyFont="1" applyFill="1" applyBorder="1" applyAlignment="1">
      <alignment horizontal="left"/>
    </xf>
    <xf numFmtId="0" fontId="4" fillId="3" borderId="39" xfId="0" applyFont="1" applyFill="1" applyBorder="1" applyAlignment="1">
      <alignment horizontal="left"/>
    </xf>
    <xf numFmtId="0" fontId="4" fillId="3" borderId="25" xfId="0" applyFont="1" applyFill="1" applyBorder="1" applyAlignment="1">
      <alignment horizontal="left"/>
    </xf>
    <xf numFmtId="0" fontId="4" fillId="3" borderId="26" xfId="0" applyFont="1" applyFill="1" applyBorder="1" applyAlignment="1">
      <alignment horizontal="left"/>
    </xf>
    <xf numFmtId="0" fontId="4" fillId="3" borderId="43" xfId="0" applyFont="1" applyFill="1" applyBorder="1" applyAlignment="1">
      <alignment horizontal="left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38" xfId="0" applyFont="1" applyFill="1" applyBorder="1" applyAlignment="1">
      <alignment horizontal="center"/>
    </xf>
    <xf numFmtId="0" fontId="9" fillId="3" borderId="12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/>
    </xf>
    <xf numFmtId="0" fontId="4" fillId="3" borderId="27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left"/>
    </xf>
    <xf numFmtId="0" fontId="4" fillId="3" borderId="26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 wrapText="1"/>
    </xf>
    <xf numFmtId="0" fontId="4" fillId="3" borderId="21" xfId="0" applyFont="1" applyFill="1" applyBorder="1" applyAlignment="1">
      <alignment horizontal="center" wrapText="1"/>
    </xf>
    <xf numFmtId="0" fontId="12" fillId="3" borderId="21" xfId="0" applyFont="1" applyFill="1" applyBorder="1" applyAlignment="1">
      <alignment horizontal="left" vertical="center"/>
    </xf>
    <xf numFmtId="0" fontId="4" fillId="3" borderId="27" xfId="0" applyFont="1" applyFill="1" applyBorder="1" applyAlignment="1">
      <alignment horizontal="left"/>
    </xf>
    <xf numFmtId="0" fontId="4" fillId="3" borderId="17" xfId="0" applyFont="1" applyFill="1" applyBorder="1" applyAlignment="1">
      <alignment horizontal="center"/>
    </xf>
    <xf numFmtId="0" fontId="9" fillId="3" borderId="18" xfId="0" quotePrefix="1" applyFont="1" applyFill="1" applyBorder="1" applyAlignment="1">
      <alignment horizontal="center" vertical="center"/>
    </xf>
    <xf numFmtId="0" fontId="9" fillId="3" borderId="30" xfId="0" quotePrefix="1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wrapText="1"/>
    </xf>
    <xf numFmtId="0" fontId="4" fillId="3" borderId="20" xfId="0" applyFont="1" applyFill="1" applyBorder="1" applyAlignment="1">
      <alignment horizontal="center"/>
    </xf>
    <xf numFmtId="4" fontId="4" fillId="3" borderId="19" xfId="0" applyNumberFormat="1" applyFont="1" applyFill="1" applyBorder="1" applyAlignment="1">
      <alignment horizontal="center" wrapText="1"/>
    </xf>
  </cellXfs>
  <cellStyles count="122">
    <cellStyle name="20% - Énfasis1 2" xfId="4" xr:uid="{00000000-0005-0000-0000-000000000000}"/>
    <cellStyle name="20% - Énfasis2 2" xfId="5" xr:uid="{00000000-0005-0000-0000-000001000000}"/>
    <cellStyle name="20% - Énfasis3 2" xfId="6" xr:uid="{00000000-0005-0000-0000-000002000000}"/>
    <cellStyle name="20% - Énfasis4 2" xfId="7" xr:uid="{00000000-0005-0000-0000-000003000000}"/>
    <cellStyle name="20% - Énfasis5 2" xfId="8" xr:uid="{00000000-0005-0000-0000-000004000000}"/>
    <cellStyle name="20% - Énfasis6 2" xfId="9" xr:uid="{00000000-0005-0000-0000-000005000000}"/>
    <cellStyle name="40% - Énfasis1 2" xfId="10" xr:uid="{00000000-0005-0000-0000-000006000000}"/>
    <cellStyle name="40% - Énfasis2 2" xfId="11" xr:uid="{00000000-0005-0000-0000-000007000000}"/>
    <cellStyle name="40% - Énfasis3 2" xfId="12" xr:uid="{00000000-0005-0000-0000-000008000000}"/>
    <cellStyle name="40% - Énfasis4 2" xfId="13" xr:uid="{00000000-0005-0000-0000-000009000000}"/>
    <cellStyle name="40% - Énfasis5 2" xfId="14" xr:uid="{00000000-0005-0000-0000-00000A000000}"/>
    <cellStyle name="40% - Énfasis6 2" xfId="15" xr:uid="{00000000-0005-0000-0000-00000B000000}"/>
    <cellStyle name="60% - Énfasis1 2" xfId="16" xr:uid="{00000000-0005-0000-0000-00000C000000}"/>
    <cellStyle name="60% - Énfasis2 2" xfId="17" xr:uid="{00000000-0005-0000-0000-00000D000000}"/>
    <cellStyle name="60% - Énfasis3 2" xfId="18" xr:uid="{00000000-0005-0000-0000-00000E000000}"/>
    <cellStyle name="60% - Énfasis4 2" xfId="19" xr:uid="{00000000-0005-0000-0000-00000F000000}"/>
    <cellStyle name="60% - Énfasis5 2" xfId="20" xr:uid="{00000000-0005-0000-0000-000010000000}"/>
    <cellStyle name="60% - Énfasis6 2" xfId="21" xr:uid="{00000000-0005-0000-0000-000011000000}"/>
    <cellStyle name="Buena 2" xfId="22" xr:uid="{00000000-0005-0000-0000-000012000000}"/>
    <cellStyle name="Cálculo 2" xfId="23" xr:uid="{00000000-0005-0000-0000-000013000000}"/>
    <cellStyle name="Cálculo 2 2" xfId="109" xr:uid="{2A28F71C-DE17-4065-989A-7F284ACAE3D5}"/>
    <cellStyle name="Celda de comprobación 2" xfId="24" xr:uid="{00000000-0005-0000-0000-000014000000}"/>
    <cellStyle name="Celda vinculada 2" xfId="25" xr:uid="{00000000-0005-0000-0000-000015000000}"/>
    <cellStyle name="Encabezado 4 2" xfId="26" xr:uid="{00000000-0005-0000-0000-000016000000}"/>
    <cellStyle name="Énfasis1 2" xfId="27" xr:uid="{00000000-0005-0000-0000-000017000000}"/>
    <cellStyle name="Énfasis2 2" xfId="28" xr:uid="{00000000-0005-0000-0000-000018000000}"/>
    <cellStyle name="Énfasis3 2" xfId="29" xr:uid="{00000000-0005-0000-0000-000019000000}"/>
    <cellStyle name="Énfasis4 2" xfId="30" xr:uid="{00000000-0005-0000-0000-00001A000000}"/>
    <cellStyle name="Énfasis5 2" xfId="31" xr:uid="{00000000-0005-0000-0000-00001B000000}"/>
    <cellStyle name="Énfasis6 2" xfId="32" xr:uid="{00000000-0005-0000-0000-00001C000000}"/>
    <cellStyle name="Entrada 2" xfId="33" xr:uid="{00000000-0005-0000-0000-00001D000000}"/>
    <cellStyle name="Entrada 2 2" xfId="110" xr:uid="{61E968AE-5D3C-4398-92B1-5A75510BDE54}"/>
    <cellStyle name="Euro" xfId="34" xr:uid="{00000000-0005-0000-0000-00001E000000}"/>
    <cellStyle name="Hipervínculo 2" xfId="35" xr:uid="{00000000-0005-0000-0000-00001F000000}"/>
    <cellStyle name="Incorrecto 2" xfId="36" xr:uid="{00000000-0005-0000-0000-000020000000}"/>
    <cellStyle name="Millares [0] 2" xfId="37" xr:uid="{00000000-0005-0000-0000-000021000000}"/>
    <cellStyle name="Millares [0] 2 2" xfId="78" xr:uid="{60B1D00C-5522-482D-829C-ACCF990D73A2}"/>
    <cellStyle name="Millares [0] 2 3" xfId="105" xr:uid="{CD814471-2B8C-4B15-A921-09F3CA99A9F5}"/>
    <cellStyle name="Millares [0] 2 4" xfId="111" xr:uid="{33A578DA-BEB9-4542-BCC4-F35284CDBA7C}"/>
    <cellStyle name="Millares [0] 3" xfId="104" xr:uid="{F88149EC-B267-4BF5-8DEA-67E6962EB781}"/>
    <cellStyle name="Millares 10" xfId="96" xr:uid="{C377C676-61A6-43E6-AD14-936FFF236DAA}"/>
    <cellStyle name="Millares 11" xfId="98" xr:uid="{E358C7E4-8151-4B0D-A8BD-4EBE96CC565B}"/>
    <cellStyle name="Millares 12" xfId="100" xr:uid="{7322A0C0-F701-449F-B50A-C6C603CED7AD}"/>
    <cellStyle name="Millares 13" xfId="69" xr:uid="{8563E95F-8F6D-477B-B5A8-81A5B13C64A5}"/>
    <cellStyle name="Millares 14" xfId="102" xr:uid="{1E867282-0696-41A5-865A-D7B5D7F2F8E0}"/>
    <cellStyle name="Millares 2" xfId="38" xr:uid="{00000000-0005-0000-0000-000022000000}"/>
    <cellStyle name="Millares 2 2" xfId="82" xr:uid="{6C1888DC-CC65-4131-9860-A93933E54ABE}"/>
    <cellStyle name="Millares 3" xfId="77" xr:uid="{EFDF4BE2-C6CB-497C-B154-0299AFC39C55}"/>
    <cellStyle name="Millares 4" xfId="87" xr:uid="{729220D0-E76E-4D18-9BD4-DE7F8EE2B296}"/>
    <cellStyle name="Millares 5" xfId="88" xr:uid="{C5E99264-1CF3-487C-9EB4-956596283D00}"/>
    <cellStyle name="Millares 6" xfId="89" xr:uid="{66EB1554-C191-472C-9C4A-E5E7E519FA95}"/>
    <cellStyle name="Millares 7" xfId="90" xr:uid="{34F9AF23-4460-4875-A713-669ACD2D7AAB}"/>
    <cellStyle name="Millares 8" xfId="93" xr:uid="{FD5810D8-1D74-4169-BFCF-31D5A8753279}"/>
    <cellStyle name="Millares 9" xfId="94" xr:uid="{312EA5FB-38F6-4635-8ED1-63FDC5E3558B}"/>
    <cellStyle name="Moneda" xfId="3" builtinId="4"/>
    <cellStyle name="Moneda [0] 2" xfId="40" xr:uid="{00000000-0005-0000-0000-000025000000}"/>
    <cellStyle name="Moneda [0] 2 2" xfId="80" xr:uid="{AEC6FA4A-2BDC-4710-A20E-885F55C8D36D}"/>
    <cellStyle name="Moneda 10" xfId="95" xr:uid="{A8C74460-D0D0-44A7-8D35-6DEBFF9AABF0}"/>
    <cellStyle name="Moneda 11" xfId="97" xr:uid="{813AF238-0068-41CC-ACAC-DE54F062600D}"/>
    <cellStyle name="Moneda 12" xfId="99" xr:uid="{72F5D006-F166-4EF6-822D-33D062945342}"/>
    <cellStyle name="Moneda 13" xfId="71" xr:uid="{A35A0921-EF8F-46D5-8C18-BB3A66F1D314}"/>
    <cellStyle name="Moneda 14" xfId="108" xr:uid="{9AA35D1C-9CBE-4023-8B96-A962C0EBD001}"/>
    <cellStyle name="Moneda 2" xfId="41" xr:uid="{00000000-0005-0000-0000-000026000000}"/>
    <cellStyle name="Moneda 2 2" xfId="68" xr:uid="{3D85BA42-692B-4826-BE2A-22E56A5B84F2}"/>
    <cellStyle name="Moneda 3" xfId="39" xr:uid="{00000000-0005-0000-0000-000027000000}"/>
    <cellStyle name="Moneda 3 2" xfId="74" xr:uid="{72ED909A-57D7-467C-9698-F864EE59995A}"/>
    <cellStyle name="Moneda 4" xfId="57" xr:uid="{2FDC1834-A68B-4062-BBEC-0EB4C31B0645}"/>
    <cellStyle name="Moneda 4 2" xfId="85" xr:uid="{D5F4C65C-6306-4D86-B7D4-77FA08C102AB}"/>
    <cellStyle name="Moneda 4 3" xfId="116" xr:uid="{4670D96B-A930-4DDB-B409-1010451FCD63}"/>
    <cellStyle name="Moneda 5" xfId="61" xr:uid="{5D7A51B7-22D3-4094-B7CA-6062D1C51C6C}"/>
    <cellStyle name="Moneda 5 2" xfId="86" xr:uid="{628836D8-5F72-4BCD-9E74-5A034ADB8EE4}"/>
    <cellStyle name="Moneda 5 3" xfId="117" xr:uid="{662F9575-AAC7-4CD9-9430-A05B9B3FB677}"/>
    <cellStyle name="Moneda 6" xfId="62" xr:uid="{C4C3D879-9994-40B1-965E-7C8585365C75}"/>
    <cellStyle name="Moneda 6 2" xfId="72" xr:uid="{53D2E0CF-99F2-4E1F-B335-F6378A1C5055}"/>
    <cellStyle name="Moneda 6 3" xfId="118" xr:uid="{2D88EE49-14FE-41D4-AC79-F338875374A7}"/>
    <cellStyle name="Moneda 7" xfId="63" xr:uid="{D0A1641D-6369-469E-B301-18840588DF59}"/>
    <cellStyle name="Moneda 7 2" xfId="75" xr:uid="{481F70B5-C7C2-4DB3-8B41-DF2A9C1AA5EC}"/>
    <cellStyle name="Moneda 7 3" xfId="119" xr:uid="{F6314A9B-599A-412A-86EB-D383B0934669}"/>
    <cellStyle name="Moneda 8" xfId="66" xr:uid="{EC4DB599-E7C0-434A-8D40-BA235BA5119D}"/>
    <cellStyle name="Moneda 8 2" xfId="92" xr:uid="{213E7C94-58E4-4F12-8D7D-538EA6614AE6}"/>
    <cellStyle name="Moneda 8 3" xfId="121" xr:uid="{5EFABA6C-F594-4E9E-8196-2FB2E595D043}"/>
    <cellStyle name="Moneda 9" xfId="91" xr:uid="{0C59E041-8067-4B7E-B076-4BA4E909235B}"/>
    <cellStyle name="Neutral 2" xfId="42" xr:uid="{00000000-0005-0000-0000-000029000000}"/>
    <cellStyle name="Normal" xfId="0" builtinId="0"/>
    <cellStyle name="Normal 10" xfId="54" xr:uid="{838E2699-D847-477B-9A8C-3ABF90CD5695}"/>
    <cellStyle name="Normal 10 10 2" xfId="58" xr:uid="{9F68DCA8-970A-4EF5-A1C3-A275FCFC6267}"/>
    <cellStyle name="Normal 11 45 9" xfId="84" xr:uid="{49CFA744-17C0-4D1F-96EE-285F783F19C4}"/>
    <cellStyle name="Normal 2" xfId="2" xr:uid="{00000000-0005-0000-0000-00002B000000}"/>
    <cellStyle name="Normal 2 10" xfId="59" xr:uid="{2E0B9CA0-034E-4392-A240-61845299CC3C}"/>
    <cellStyle name="Normal 2 10 2 2" xfId="103" xr:uid="{96A33751-7EAF-4220-AE69-483257B6AF06}"/>
    <cellStyle name="Normal 2 2" xfId="83" xr:uid="{6637C549-E16A-4D9F-A246-D17A542FB969}"/>
    <cellStyle name="Normal 2 3" xfId="101" xr:uid="{824500E2-0C52-42CE-9441-E9A330B93221}"/>
    <cellStyle name="Normal 2 4" xfId="81" xr:uid="{382740EF-F23E-486E-B606-3E11F1321180}"/>
    <cellStyle name="Normal 3" xfId="56" xr:uid="{F6BFF90F-5DA0-4D5F-A14F-4FD503893B4F}"/>
    <cellStyle name="Normal 4" xfId="55" xr:uid="{99DEBDBC-E93F-42BB-A68E-693B230559DA}"/>
    <cellStyle name="Normal 4 2" xfId="115" xr:uid="{C06C91AB-AC23-475B-90C6-70CB3FD026F4}"/>
    <cellStyle name="Normal 5" xfId="65" xr:uid="{FCBD8A4A-CD97-44A9-96CE-AF0E87B8F6CC}"/>
    <cellStyle name="Normal 5 11 3" xfId="76" xr:uid="{5A9137DB-BD3F-4B0A-AD7A-3D776D0A28FB}"/>
    <cellStyle name="Normal 5 2" xfId="120" xr:uid="{33EA9816-2F5F-45BA-B729-98F0DF805B0F}"/>
    <cellStyle name="Normal 6" xfId="67" xr:uid="{5F1D5AF1-0410-4D21-AAC8-DC95BA8C1BF7}"/>
    <cellStyle name="Normal 6 2" xfId="64" xr:uid="{FA0794AB-06D5-42B3-BD6E-7782D3674764}"/>
    <cellStyle name="Normal 6 2 2" xfId="79" xr:uid="{B50A7CD5-FE13-403F-A30A-BDED8A8D6327}"/>
    <cellStyle name="Normal 6 2 3" xfId="73" xr:uid="{9AA8DC1F-AE76-4D42-954C-9735E4576E89}"/>
    <cellStyle name="Normal 7" xfId="106" xr:uid="{21BF8EA1-CAE3-409C-BB2A-9E8C1C66C506}"/>
    <cellStyle name="Notas 2" xfId="43" xr:uid="{00000000-0005-0000-0000-00002C000000}"/>
    <cellStyle name="Notas 2 2" xfId="112" xr:uid="{24BBBA82-69DC-4E11-B89F-7AF5FCE430F8}"/>
    <cellStyle name="Porcentaje" xfId="1" builtinId="5"/>
    <cellStyle name="Porcentaje 2" xfId="44" xr:uid="{00000000-0005-0000-0000-00002E000000}"/>
    <cellStyle name="Porcentaje 2 2" xfId="60" xr:uid="{581614C4-1A70-422B-BFEE-4947FF6EF3CC}"/>
    <cellStyle name="Porcentaje 3" xfId="70" xr:uid="{7D2EBA9A-719D-43AC-B4D8-FF91A01F5C9E}"/>
    <cellStyle name="Porcentaje 4" xfId="107" xr:uid="{0B93A04A-1D1F-47A2-A7AA-94EAB407F8EE}"/>
    <cellStyle name="Porcentual 2" xfId="45" xr:uid="{00000000-0005-0000-0000-00002F000000}"/>
    <cellStyle name="Porcentual 3" xfId="46" xr:uid="{00000000-0005-0000-0000-000030000000}"/>
    <cellStyle name="Salida 2" xfId="47" xr:uid="{00000000-0005-0000-0000-000031000000}"/>
    <cellStyle name="Salida 2 2" xfId="113" xr:uid="{9A8B7AD0-AAFE-4D63-940F-7CA421248702}"/>
    <cellStyle name="Texto de advertencia 2" xfId="48" xr:uid="{00000000-0005-0000-0000-000032000000}"/>
    <cellStyle name="Texto explicativo 2" xfId="49" xr:uid="{00000000-0005-0000-0000-000033000000}"/>
    <cellStyle name="Título 2 2" xfId="51" xr:uid="{00000000-0005-0000-0000-000034000000}"/>
    <cellStyle name="Título 3 2" xfId="52" xr:uid="{00000000-0005-0000-0000-000035000000}"/>
    <cellStyle name="Título 4" xfId="50" xr:uid="{00000000-0005-0000-0000-000036000000}"/>
    <cellStyle name="Total 2" xfId="53" xr:uid="{00000000-0005-0000-0000-000037000000}"/>
    <cellStyle name="Total 2 2" xfId="114" xr:uid="{38340B32-5E42-49A1-961D-E919DE5BEE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sv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sv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41</xdr:row>
      <xdr:rowOff>9525</xdr:rowOff>
    </xdr:from>
    <xdr:to>
      <xdr:col>3</xdr:col>
      <xdr:colOff>486135</xdr:colOff>
      <xdr:row>71</xdr:row>
      <xdr:rowOff>29256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40AE917-00E3-47C6-A9E2-909B130878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12230100"/>
          <a:ext cx="2581635" cy="4877481"/>
        </a:xfrm>
        <a:prstGeom prst="rect">
          <a:avLst/>
        </a:prstGeom>
      </xdr:spPr>
    </xdr:pic>
    <xdr:clientData/>
  </xdr:twoCellAnchor>
  <xdr:twoCellAnchor editAs="oneCell">
    <xdr:from>
      <xdr:col>3</xdr:col>
      <xdr:colOff>523875</xdr:colOff>
      <xdr:row>41</xdr:row>
      <xdr:rowOff>104775</xdr:rowOff>
    </xdr:from>
    <xdr:to>
      <xdr:col>14</xdr:col>
      <xdr:colOff>496644</xdr:colOff>
      <xdr:row>74</xdr:row>
      <xdr:rowOff>124573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E9EB1F-C934-422B-B8CF-3C6097CEF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09875" y="12325350"/>
          <a:ext cx="9631119" cy="5363323"/>
        </a:xfrm>
        <a:prstGeom prst="rect">
          <a:avLst/>
        </a:prstGeom>
      </xdr:spPr>
    </xdr:pic>
    <xdr:clientData/>
  </xdr:twoCellAnchor>
  <xdr:twoCellAnchor editAs="oneCell">
    <xdr:from>
      <xdr:col>2</xdr:col>
      <xdr:colOff>200025</xdr:colOff>
      <xdr:row>75</xdr:row>
      <xdr:rowOff>76200</xdr:rowOff>
    </xdr:from>
    <xdr:to>
      <xdr:col>17</xdr:col>
      <xdr:colOff>459041</xdr:colOff>
      <xdr:row>91</xdr:row>
      <xdr:rowOff>38456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3611333-2C09-4173-908E-ED3EFB1CD0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24025" y="17802225"/>
          <a:ext cx="13193966" cy="25530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702945</xdr:colOff>
      <xdr:row>85</xdr:row>
      <xdr:rowOff>68580</xdr:rowOff>
    </xdr:from>
    <xdr:to>
      <xdr:col>2</xdr:col>
      <xdr:colOff>146685</xdr:colOff>
      <xdr:row>87</xdr:row>
      <xdr:rowOff>129540</xdr:rowOff>
    </xdr:to>
    <xdr:pic>
      <xdr:nvPicPr>
        <xdr:cNvPr id="10" name="Gráfico 1">
          <a:extLst>
            <a:ext uri="{FF2B5EF4-FFF2-40B4-BE49-F238E27FC236}">
              <a16:creationId xmlns:a16="http://schemas.microsoft.com/office/drawing/2014/main" id="{DC8B6E64-5C4A-4098-BBC3-B1C0BB406751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02945" y="7660005"/>
          <a:ext cx="967740" cy="575310"/>
        </a:xfrm>
        <a:prstGeom prst="rect">
          <a:avLst/>
        </a:prstGeom>
      </xdr:spPr>
    </xdr:pic>
    <xdr:clientData/>
  </xdr:twoCellAnchor>
  <xdr:oneCellAnchor>
    <xdr:from>
      <xdr:col>0</xdr:col>
      <xdr:colOff>453390</xdr:colOff>
      <xdr:row>222</xdr:row>
      <xdr:rowOff>95250</xdr:rowOff>
    </xdr:from>
    <xdr:ext cx="967740" cy="575310"/>
    <xdr:pic>
      <xdr:nvPicPr>
        <xdr:cNvPr id="7" name="Gráfico 1">
          <a:extLst>
            <a:ext uri="{FF2B5EF4-FFF2-40B4-BE49-F238E27FC236}">
              <a16:creationId xmlns:a16="http://schemas.microsoft.com/office/drawing/2014/main" id="{6E102B57-EF19-490E-A41E-5E3D4CA6153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3390" y="29003625"/>
          <a:ext cx="967740" cy="575310"/>
        </a:xfrm>
        <a:prstGeom prst="rect">
          <a:avLst/>
        </a:prstGeom>
      </xdr:spPr>
    </xdr:pic>
    <xdr:clientData/>
  </xdr:oneCellAnchor>
  <xdr:oneCellAnchor>
    <xdr:from>
      <xdr:col>0</xdr:col>
      <xdr:colOff>453390</xdr:colOff>
      <xdr:row>264</xdr:row>
      <xdr:rowOff>95250</xdr:rowOff>
    </xdr:from>
    <xdr:ext cx="967740" cy="575310"/>
    <xdr:pic>
      <xdr:nvPicPr>
        <xdr:cNvPr id="9" name="Gráfico 1">
          <a:extLst>
            <a:ext uri="{FF2B5EF4-FFF2-40B4-BE49-F238E27FC236}">
              <a16:creationId xmlns:a16="http://schemas.microsoft.com/office/drawing/2014/main" id="{27DFF86E-AE4A-44A5-AAE3-C49F0D77412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3390" y="43443525"/>
          <a:ext cx="967740" cy="575310"/>
        </a:xfrm>
        <a:prstGeom prst="rect">
          <a:avLst/>
        </a:prstGeom>
      </xdr:spPr>
    </xdr:pic>
    <xdr:clientData/>
  </xdr:oneCellAnchor>
  <xdr:oneCellAnchor>
    <xdr:from>
      <xdr:col>0</xdr:col>
      <xdr:colOff>512445</xdr:colOff>
      <xdr:row>135</xdr:row>
      <xdr:rowOff>154305</xdr:rowOff>
    </xdr:from>
    <xdr:ext cx="967740" cy="575310"/>
    <xdr:pic>
      <xdr:nvPicPr>
        <xdr:cNvPr id="16" name="Gráfico 1">
          <a:extLst>
            <a:ext uri="{FF2B5EF4-FFF2-40B4-BE49-F238E27FC236}">
              <a16:creationId xmlns:a16="http://schemas.microsoft.com/office/drawing/2014/main" id="{12C47850-1C53-4705-B808-08549402092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12445" y="8936355"/>
          <a:ext cx="967740" cy="575310"/>
        </a:xfrm>
        <a:prstGeom prst="rect">
          <a:avLst/>
        </a:prstGeom>
      </xdr:spPr>
    </xdr:pic>
    <xdr:clientData/>
  </xdr:oneCellAnchor>
  <xdr:oneCellAnchor>
    <xdr:from>
      <xdr:col>0</xdr:col>
      <xdr:colOff>531495</xdr:colOff>
      <xdr:row>0</xdr:row>
      <xdr:rowOff>106680</xdr:rowOff>
    </xdr:from>
    <xdr:ext cx="967740" cy="575310"/>
    <xdr:pic>
      <xdr:nvPicPr>
        <xdr:cNvPr id="17" name="Gráfico 1">
          <a:extLst>
            <a:ext uri="{FF2B5EF4-FFF2-40B4-BE49-F238E27FC236}">
              <a16:creationId xmlns:a16="http://schemas.microsoft.com/office/drawing/2014/main" id="{A16A2E29-A702-4766-AB5E-56E74F12CC0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31495" y="106680"/>
          <a:ext cx="967740" cy="575310"/>
        </a:xfrm>
        <a:prstGeom prst="rect">
          <a:avLst/>
        </a:prstGeom>
      </xdr:spPr>
    </xdr:pic>
    <xdr:clientData/>
  </xdr:oneCellAnchor>
  <xdr:oneCellAnchor>
    <xdr:from>
      <xdr:col>0</xdr:col>
      <xdr:colOff>531495</xdr:colOff>
      <xdr:row>42</xdr:row>
      <xdr:rowOff>106680</xdr:rowOff>
    </xdr:from>
    <xdr:ext cx="967740" cy="575310"/>
    <xdr:pic>
      <xdr:nvPicPr>
        <xdr:cNvPr id="18" name="Gráfico 1">
          <a:extLst>
            <a:ext uri="{FF2B5EF4-FFF2-40B4-BE49-F238E27FC236}">
              <a16:creationId xmlns:a16="http://schemas.microsoft.com/office/drawing/2014/main" id="{CA63188A-E5BD-40BF-AE22-8D74CE78313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31495" y="106680"/>
          <a:ext cx="967740" cy="575310"/>
        </a:xfrm>
        <a:prstGeom prst="rect">
          <a:avLst/>
        </a:prstGeom>
      </xdr:spPr>
    </xdr:pic>
    <xdr:clientData/>
  </xdr:oneCellAnchor>
  <xdr:oneCellAnchor>
    <xdr:from>
      <xdr:col>0</xdr:col>
      <xdr:colOff>474345</xdr:colOff>
      <xdr:row>179</xdr:row>
      <xdr:rowOff>1905</xdr:rowOff>
    </xdr:from>
    <xdr:ext cx="967740" cy="575310"/>
    <xdr:pic>
      <xdr:nvPicPr>
        <xdr:cNvPr id="19" name="Gráfico 1">
          <a:extLst>
            <a:ext uri="{FF2B5EF4-FFF2-40B4-BE49-F238E27FC236}">
              <a16:creationId xmlns:a16="http://schemas.microsoft.com/office/drawing/2014/main" id="{603ADB21-30D8-401C-80F3-726C29DB14CE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74345" y="31672530"/>
          <a:ext cx="967740" cy="575310"/>
        </a:xfrm>
        <a:prstGeom prst="rect">
          <a:avLst/>
        </a:prstGeom>
      </xdr:spPr>
    </xdr:pic>
    <xdr:clientData/>
  </xdr:oneCellAnchor>
  <xdr:oneCellAnchor>
    <xdr:from>
      <xdr:col>0</xdr:col>
      <xdr:colOff>512445</xdr:colOff>
      <xdr:row>314</xdr:row>
      <xdr:rowOff>154305</xdr:rowOff>
    </xdr:from>
    <xdr:ext cx="967740" cy="575310"/>
    <xdr:pic>
      <xdr:nvPicPr>
        <xdr:cNvPr id="22" name="Gráfico 1">
          <a:extLst>
            <a:ext uri="{FF2B5EF4-FFF2-40B4-BE49-F238E27FC236}">
              <a16:creationId xmlns:a16="http://schemas.microsoft.com/office/drawing/2014/main" id="{64A2BEE1-2822-4571-B5F5-DE9D65352EAE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12445" y="24147780"/>
          <a:ext cx="967740" cy="57531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702945</xdr:colOff>
      <xdr:row>0</xdr:row>
      <xdr:rowOff>68581</xdr:rowOff>
    </xdr:from>
    <xdr:to>
      <xdr:col>2</xdr:col>
      <xdr:colOff>146685</xdr:colOff>
      <xdr:row>2</xdr:row>
      <xdr:rowOff>1</xdr:rowOff>
    </xdr:to>
    <xdr:pic>
      <xdr:nvPicPr>
        <xdr:cNvPr id="2" name="Gráfico 1">
          <a:extLst>
            <a:ext uri="{FF2B5EF4-FFF2-40B4-BE49-F238E27FC236}">
              <a16:creationId xmlns:a16="http://schemas.microsoft.com/office/drawing/2014/main" id="{1B4E046E-76FC-4FE4-AA41-B3C1A3F66EE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02945" y="68581"/>
          <a:ext cx="967740" cy="255270"/>
        </a:xfrm>
        <a:prstGeom prst="rect">
          <a:avLst/>
        </a:prstGeom>
      </xdr:spPr>
    </xdr:pic>
    <xdr:clientData/>
  </xdr:twoCellAnchor>
  <xdr:oneCellAnchor>
    <xdr:from>
      <xdr:col>0</xdr:col>
      <xdr:colOff>702945</xdr:colOff>
      <xdr:row>46</xdr:row>
      <xdr:rowOff>68581</xdr:rowOff>
    </xdr:from>
    <xdr:ext cx="967740" cy="512444"/>
    <xdr:pic>
      <xdr:nvPicPr>
        <xdr:cNvPr id="3" name="Gráfico 2">
          <a:extLst>
            <a:ext uri="{FF2B5EF4-FFF2-40B4-BE49-F238E27FC236}">
              <a16:creationId xmlns:a16="http://schemas.microsoft.com/office/drawing/2014/main" id="{BC498B6D-1D7F-4380-A9B3-C9E57A50D76B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02945" y="8098156"/>
          <a:ext cx="967740" cy="512444"/>
        </a:xfrm>
        <a:prstGeom prst="rect">
          <a:avLst/>
        </a:prstGeom>
      </xdr:spPr>
    </xdr:pic>
    <xdr:clientData/>
  </xdr:oneCellAnchor>
  <xdr:twoCellAnchor editAs="oneCell">
    <xdr:from>
      <xdr:col>13</xdr:col>
      <xdr:colOff>209549</xdr:colOff>
      <xdr:row>53</xdr:row>
      <xdr:rowOff>28576</xdr:rowOff>
    </xdr:from>
    <xdr:to>
      <xdr:col>29</xdr:col>
      <xdr:colOff>144944</xdr:colOff>
      <xdr:row>86</xdr:row>
      <xdr:rowOff>151397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12696CD-2E37-4785-9C67-BFA27880A4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115549" y="9458326"/>
          <a:ext cx="12127395" cy="5866396"/>
        </a:xfrm>
        <a:prstGeom prst="rect">
          <a:avLst/>
        </a:prstGeom>
      </xdr:spPr>
    </xdr:pic>
    <xdr:clientData/>
  </xdr:twoCellAnchor>
  <xdr:oneCellAnchor>
    <xdr:from>
      <xdr:col>0</xdr:col>
      <xdr:colOff>512445</xdr:colOff>
      <xdr:row>93</xdr:row>
      <xdr:rowOff>154305</xdr:rowOff>
    </xdr:from>
    <xdr:ext cx="967740" cy="575310"/>
    <xdr:pic>
      <xdr:nvPicPr>
        <xdr:cNvPr id="5" name="Gráfico 1">
          <a:extLst>
            <a:ext uri="{FF2B5EF4-FFF2-40B4-BE49-F238E27FC236}">
              <a16:creationId xmlns:a16="http://schemas.microsoft.com/office/drawing/2014/main" id="{137E93A3-3479-4D6E-BC04-F727AD6B01E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12445" y="24147780"/>
          <a:ext cx="967740" cy="575310"/>
        </a:xfrm>
        <a:prstGeom prst="rect">
          <a:avLst/>
        </a:prstGeom>
      </xdr:spPr>
    </xdr:pic>
    <xdr:clientData/>
  </xdr:oneCellAnchor>
  <xdr:oneCellAnchor>
    <xdr:from>
      <xdr:col>0</xdr:col>
      <xdr:colOff>702945</xdr:colOff>
      <xdr:row>135</xdr:row>
      <xdr:rowOff>68581</xdr:rowOff>
    </xdr:from>
    <xdr:ext cx="967740" cy="512444"/>
    <xdr:pic>
      <xdr:nvPicPr>
        <xdr:cNvPr id="6" name="Gráfico 5">
          <a:extLst>
            <a:ext uri="{FF2B5EF4-FFF2-40B4-BE49-F238E27FC236}">
              <a16:creationId xmlns:a16="http://schemas.microsoft.com/office/drawing/2014/main" id="{110B489F-EDA7-40FD-B667-903841F3785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02945" y="8098156"/>
          <a:ext cx="967740" cy="512444"/>
        </a:xfrm>
        <a:prstGeom prst="rect">
          <a:avLst/>
        </a:prstGeom>
      </xdr:spPr>
    </xdr:pic>
    <xdr:clientData/>
  </xdr:oneCellAnchor>
  <xdr:oneCellAnchor>
    <xdr:from>
      <xdr:col>0</xdr:col>
      <xdr:colOff>702945</xdr:colOff>
      <xdr:row>182</xdr:row>
      <xdr:rowOff>68581</xdr:rowOff>
    </xdr:from>
    <xdr:ext cx="967740" cy="512444"/>
    <xdr:pic>
      <xdr:nvPicPr>
        <xdr:cNvPr id="7" name="Gráfico 6">
          <a:extLst>
            <a:ext uri="{FF2B5EF4-FFF2-40B4-BE49-F238E27FC236}">
              <a16:creationId xmlns:a16="http://schemas.microsoft.com/office/drawing/2014/main" id="{4D6452AB-E2EE-47C6-A011-10250BD211E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02945" y="23662006"/>
          <a:ext cx="967740" cy="512444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fraestructura02/Downloads/1.%20PRESUPUESTO_EDIFICIO%20DE%20MOVILIDAD%20NIVEL%201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L PROYECTO"/>
      <sheetName val="Detalle de Presupuesto"/>
      <sheetName val="APU"/>
      <sheetName val="COSTOS MGA"/>
      <sheetName val="1_MEM_ET_PRELIMINARES"/>
      <sheetName val="2_MEM_ET_DEMOLICIÓN"/>
      <sheetName val="3_MEM_ET_RETIROS - DESMONTES"/>
      <sheetName val="4_MEM_ACERO PILAS"/>
      <sheetName val="4_MEM_ET_ACERO BARRAS"/>
      <sheetName val="4_MEM_ET_ACERO ESCALERAS"/>
      <sheetName val="5_MEM_ET_CONCRETO PILAS"/>
      <sheetName val="5_MEM_ET_CONCRETO"/>
      <sheetName val="6_MEM_ACERO ESTRUCTURAL"/>
      <sheetName val="6_MEM_ET_CERRAMIENTO"/>
      <sheetName val="7_MEM_ET_MAMPOSTERÍA"/>
      <sheetName val="8_MEM_ET_ENLUCIDOS"/>
      <sheetName val="9_MEM_ET_PISOS"/>
      <sheetName val="10_MEM_ET_ACABADOS"/>
      <sheetName val="11_MEM_ET_ELECTRICO"/>
      <sheetName val="12_MEM_ET_HIDRO"/>
      <sheetName val="13_MEM_ET_RCI"/>
      <sheetName val="15_MEM_ET_CUBIERTA"/>
      <sheetName val="16_MEM_ET_PUERTAS Y VENTANAS"/>
      <sheetName val="17_MEM_ET_APARTOS SAN"/>
      <sheetName val="18_MEM_ET_URBANISMO"/>
      <sheetName val="19_MEM_ET_MOBILIARIO"/>
      <sheetName val="CALCULO AU OBRA"/>
      <sheetName val="POLIZAS OBRA"/>
      <sheetName val="PGIO"/>
      <sheetName val="PMT "/>
      <sheetName val="PMA"/>
      <sheetName val="Base de Datos Ferros"/>
      <sheetName val="ALQ-EQUIPOS"/>
      <sheetName val="ESTUDIO DE MERCADO - MATERIALES"/>
      <sheetName val="APU MORTEROS Y CONCRETOS CDI"/>
      <sheetName val="MO_CUADRILLAS Y SALARIOS"/>
      <sheetName val="FM"/>
      <sheetName val="CALCULO INTER"/>
      <sheetName val="POLIZAS INTERVENTOR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8">
          <cell r="B8" t="str">
            <v>Cemento gris Uso Gnral 50kg</v>
          </cell>
          <cell r="C8" t="str">
            <v>sac</v>
          </cell>
          <cell r="D8">
            <v>38000</v>
          </cell>
        </row>
        <row r="9">
          <cell r="B9" t="str">
            <v>Cemento Estructural 42,5kg</v>
          </cell>
          <cell r="C9" t="str">
            <v>sac</v>
          </cell>
          <cell r="D9">
            <v>39000</v>
          </cell>
        </row>
        <row r="10">
          <cell r="B10" t="str">
            <v>Cemento Blanco</v>
          </cell>
          <cell r="C10" t="str">
            <v>kl</v>
          </cell>
          <cell r="D10">
            <v>2700</v>
          </cell>
        </row>
        <row r="11">
          <cell r="B11" t="str">
            <v>Concreto Premezclado (3000 psi)</v>
          </cell>
          <cell r="C11" t="str">
            <v>m3</v>
          </cell>
          <cell r="D11">
            <v>850000</v>
          </cell>
        </row>
        <row r="13">
          <cell r="B13" t="str">
            <v>Arena de concreto</v>
          </cell>
          <cell r="C13" t="str">
            <v>m3</v>
          </cell>
          <cell r="D13">
            <v>125000</v>
          </cell>
        </row>
        <row r="14">
          <cell r="B14" t="str">
            <v>Arena de Revoque</v>
          </cell>
          <cell r="C14" t="str">
            <v>m3</v>
          </cell>
          <cell r="D14">
            <v>148000</v>
          </cell>
        </row>
        <row r="15">
          <cell r="B15" t="str">
            <v>Arena de pega</v>
          </cell>
          <cell r="C15" t="str">
            <v>m3</v>
          </cell>
          <cell r="D15">
            <v>134000</v>
          </cell>
        </row>
        <row r="16">
          <cell r="B16" t="str">
            <v>Triturado de 1/2" - 3/4"</v>
          </cell>
          <cell r="C16" t="str">
            <v>m3</v>
          </cell>
          <cell r="D16">
            <v>148000</v>
          </cell>
        </row>
        <row r="17">
          <cell r="B17" t="str">
            <v>Tierra no vegetal - Limo</v>
          </cell>
          <cell r="C17" t="str">
            <v>m3</v>
          </cell>
          <cell r="D17">
            <v>68000</v>
          </cell>
        </row>
        <row r="18">
          <cell r="B18" t="str">
            <v>Material Granular seleccionado</v>
          </cell>
          <cell r="C18" t="str">
            <v>m3</v>
          </cell>
          <cell r="D18">
            <v>90000</v>
          </cell>
        </row>
        <row r="19">
          <cell r="B19" t="str">
            <v>Afirmado</v>
          </cell>
          <cell r="C19" t="str">
            <v>m3</v>
          </cell>
          <cell r="D19">
            <v>95000</v>
          </cell>
        </row>
        <row r="20">
          <cell r="B20" t="str">
            <v>Material de peña (Recebo) en cantera</v>
          </cell>
          <cell r="C20" t="str">
            <v>m3</v>
          </cell>
          <cell r="D20">
            <v>88000</v>
          </cell>
        </row>
        <row r="21">
          <cell r="B21" t="str">
            <v>Material para filtro</v>
          </cell>
          <cell r="C21" t="str">
            <v>m3</v>
          </cell>
          <cell r="D21">
            <v>98000</v>
          </cell>
        </row>
        <row r="23">
          <cell r="B23" t="str">
            <v>MORTERO 1:2</v>
          </cell>
          <cell r="C23" t="str">
            <v>m3</v>
          </cell>
          <cell r="D23">
            <v>752856</v>
          </cell>
        </row>
        <row r="24">
          <cell r="B24" t="str">
            <v>MORTERO 1:3</v>
          </cell>
          <cell r="C24" t="str">
            <v>m3</v>
          </cell>
          <cell r="D24">
            <v>717740</v>
          </cell>
        </row>
        <row r="25">
          <cell r="B25" t="str">
            <v>MORTERO 1:3 GROUTING</v>
          </cell>
          <cell r="C25" t="str">
            <v>m3</v>
          </cell>
          <cell r="D25">
            <v>683290</v>
          </cell>
        </row>
        <row r="26">
          <cell r="B26" t="str">
            <v>MORTERO 1:4 REVOQUE</v>
          </cell>
          <cell r="C26" t="str">
            <v>m3</v>
          </cell>
          <cell r="D26">
            <v>669396</v>
          </cell>
        </row>
        <row r="27">
          <cell r="B27" t="str">
            <v>MORTERO 1:5</v>
          </cell>
          <cell r="C27" t="str">
            <v>m4</v>
          </cell>
          <cell r="D27">
            <v>653132</v>
          </cell>
        </row>
        <row r="28">
          <cell r="B28" t="str">
            <v>CONCRETO 4000psi</v>
          </cell>
          <cell r="C28" t="str">
            <v>m3</v>
          </cell>
          <cell r="D28">
            <v>772440</v>
          </cell>
        </row>
        <row r="29">
          <cell r="B29" t="str">
            <v>CONCRETO 3500psi</v>
          </cell>
          <cell r="C29" t="str">
            <v>m3</v>
          </cell>
          <cell r="D29">
            <v>740112</v>
          </cell>
        </row>
        <row r="30">
          <cell r="B30" t="str">
            <v>CONCRETO 3000psi</v>
          </cell>
          <cell r="C30" t="str">
            <v>m3</v>
          </cell>
          <cell r="D30">
            <v>733040</v>
          </cell>
        </row>
        <row r="31">
          <cell r="B31" t="str">
            <v>CONCRETO 2700psi</v>
          </cell>
          <cell r="C31" t="str">
            <v>m3</v>
          </cell>
          <cell r="D31">
            <v>715796</v>
          </cell>
        </row>
        <row r="32">
          <cell r="B32" t="str">
            <v>CONCRETO 2400psi</v>
          </cell>
          <cell r="C32" t="str">
            <v>m3</v>
          </cell>
          <cell r="D32">
            <v>689912</v>
          </cell>
        </row>
        <row r="33">
          <cell r="B33" t="str">
            <v>CONCRETO 2000psi</v>
          </cell>
          <cell r="C33" t="str">
            <v>m3</v>
          </cell>
          <cell r="D33">
            <v>682006</v>
          </cell>
        </row>
        <row r="34">
          <cell r="B34" t="str">
            <v>CONCRETO 1700psi</v>
          </cell>
          <cell r="C34" t="str">
            <v>m3</v>
          </cell>
          <cell r="D34">
            <v>628522.67999999993</v>
          </cell>
        </row>
        <row r="36">
          <cell r="B36" t="str">
            <v>Impermeabilizante para concreto</v>
          </cell>
          <cell r="C36" t="str">
            <v>Kg</v>
          </cell>
          <cell r="D36">
            <v>13200</v>
          </cell>
        </row>
        <row r="37">
          <cell r="B37" t="str">
            <v>Impermeabilizante integral para morteros</v>
          </cell>
          <cell r="C37" t="str">
            <v>kg</v>
          </cell>
          <cell r="D37">
            <v>18725</v>
          </cell>
        </row>
        <row r="38">
          <cell r="B38" t="str">
            <v>Imprimante Acrílico</v>
          </cell>
          <cell r="C38" t="str">
            <v>gl</v>
          </cell>
          <cell r="D38">
            <v>32800</v>
          </cell>
        </row>
        <row r="39">
          <cell r="B39" t="str">
            <v>Adhesivo epóxico - Sikadur AnchorFix-4</v>
          </cell>
          <cell r="C39" t="str">
            <v>un</v>
          </cell>
          <cell r="D39">
            <v>135450</v>
          </cell>
        </row>
        <row r="40">
          <cell r="B40" t="str">
            <v>Adhesivo epóxico - Sikadur AnchorFix-2</v>
          </cell>
          <cell r="C40" t="str">
            <v>un</v>
          </cell>
          <cell r="D40">
            <v>129900</v>
          </cell>
        </row>
        <row r="41">
          <cell r="B41" t="str">
            <v>Costal</v>
          </cell>
          <cell r="C41" t="str">
            <v>un</v>
          </cell>
          <cell r="D41">
            <v>2500</v>
          </cell>
        </row>
        <row r="42">
          <cell r="B42" t="str">
            <v>Cemento Demoledor tipo Cras</v>
          </cell>
          <cell r="C42" t="str">
            <v>kl</v>
          </cell>
          <cell r="D42">
            <v>39620</v>
          </cell>
        </row>
        <row r="43">
          <cell r="B43" t="str">
            <v>Granito #1</v>
          </cell>
          <cell r="C43" t="str">
            <v>bt</v>
          </cell>
          <cell r="D43">
            <v>18000</v>
          </cell>
        </row>
        <row r="45">
          <cell r="B45" t="str">
            <v>Agua</v>
          </cell>
          <cell r="C45" t="str">
            <v>lt</v>
          </cell>
          <cell r="D45">
            <v>20</v>
          </cell>
        </row>
        <row r="46">
          <cell r="B46" t="str">
            <v>Cinta de Señalizacion cal 6</v>
          </cell>
          <cell r="C46" t="str">
            <v>ml</v>
          </cell>
          <cell r="D46">
            <v>450</v>
          </cell>
        </row>
        <row r="47">
          <cell r="B47" t="str">
            <v>Tela verde para cerramiento 100m x 2.10m</v>
          </cell>
          <cell r="C47" t="str">
            <v>m2</v>
          </cell>
          <cell r="D47">
            <v>2230</v>
          </cell>
        </row>
        <row r="48">
          <cell r="B48" t="str">
            <v>Tela negra para cerramiento 100m x 2.10m</v>
          </cell>
          <cell r="C48" t="str">
            <v>m2</v>
          </cell>
          <cell r="D48">
            <v>2760</v>
          </cell>
        </row>
        <row r="49">
          <cell r="B49" t="str">
            <v>Tela blanca para cerramiento 100m x 2.10m</v>
          </cell>
          <cell r="C49" t="str">
            <v>m2</v>
          </cell>
          <cell r="D49">
            <v>1930</v>
          </cell>
        </row>
        <row r="50">
          <cell r="B50" t="str">
            <v>Caseton Recuperable de Poliestireno</v>
          </cell>
          <cell r="C50" t="str">
            <v>m2</v>
          </cell>
          <cell r="D50">
            <v>57300</v>
          </cell>
        </row>
        <row r="52">
          <cell r="B52" t="str">
            <v>Bloque Arquitectónico Napolitano 12 6x12x40 Blanco Arena</v>
          </cell>
          <cell r="C52" t="str">
            <v>m2</v>
          </cell>
          <cell r="D52">
            <v>2710</v>
          </cell>
        </row>
        <row r="53">
          <cell r="B53" t="str">
            <v>Bloque Arquitectónico Napolitano 12 6x12x40 Gris</v>
          </cell>
          <cell r="C53" t="str">
            <v>m2</v>
          </cell>
          <cell r="D53">
            <v>2460</v>
          </cell>
        </row>
        <row r="54">
          <cell r="B54" t="str">
            <v>Bloque Arquitectónico Napolitano 15 6x15x40 Blanco Arena</v>
          </cell>
          <cell r="C54" t="str">
            <v>m2</v>
          </cell>
          <cell r="D54">
            <v>2780</v>
          </cell>
        </row>
        <row r="55">
          <cell r="B55" t="str">
            <v>Bloque Arquitectónico Napolitano 15 6x15x40 Gris</v>
          </cell>
          <cell r="C55" t="str">
            <v>m2</v>
          </cell>
          <cell r="D55">
            <v>2450</v>
          </cell>
        </row>
        <row r="57">
          <cell r="B57" t="str">
            <v>Bloque de cemento 0.10x0.20x0.40m</v>
          </cell>
          <cell r="C57" t="str">
            <v>un</v>
          </cell>
          <cell r="D57">
            <v>2050</v>
          </cell>
        </row>
        <row r="58">
          <cell r="B58" t="str">
            <v>Bloque de cemento 0.12x0.20x0.40m</v>
          </cell>
          <cell r="C58" t="str">
            <v>un</v>
          </cell>
          <cell r="D58">
            <v>4650</v>
          </cell>
        </row>
        <row r="59">
          <cell r="B59" t="str">
            <v>Bloque de cemento 0.15x0.20x0.40m</v>
          </cell>
          <cell r="C59" t="str">
            <v>un</v>
          </cell>
          <cell r="D59">
            <v>3600</v>
          </cell>
        </row>
        <row r="60">
          <cell r="B60" t="str">
            <v>Bloque de cemento 0.20x0.20x0.40m</v>
          </cell>
          <cell r="C60" t="str">
            <v>un</v>
          </cell>
          <cell r="D60">
            <v>4230</v>
          </cell>
        </row>
        <row r="61">
          <cell r="B61" t="str">
            <v>Adobe Rayado 8X20X40</v>
          </cell>
          <cell r="C61" t="str">
            <v>un</v>
          </cell>
          <cell r="D61">
            <v>1820</v>
          </cell>
        </row>
        <row r="62">
          <cell r="B62" t="str">
            <v>Adobe Rayado 10X20X40</v>
          </cell>
          <cell r="C62" t="str">
            <v>un</v>
          </cell>
          <cell r="D62">
            <v>1950</v>
          </cell>
        </row>
        <row r="63">
          <cell r="B63" t="str">
            <v>Tolete Rayado 12X20X40</v>
          </cell>
          <cell r="C63" t="str">
            <v>un</v>
          </cell>
          <cell r="D63">
            <v>2340</v>
          </cell>
        </row>
        <row r="64">
          <cell r="B64" t="str">
            <v>Tolete Rayado 15X20X40</v>
          </cell>
          <cell r="C64" t="str">
            <v>un</v>
          </cell>
          <cell r="D64">
            <v>2680</v>
          </cell>
        </row>
        <row r="65">
          <cell r="B65" t="str">
            <v>Bloque de Napolitano 0.07x0.12x0.40m Gris</v>
          </cell>
          <cell r="C65" t="str">
            <v>un</v>
          </cell>
          <cell r="D65">
            <v>2230</v>
          </cell>
        </row>
        <row r="66">
          <cell r="B66" t="str">
            <v>Bloque de Napolitano 0.07x0.12x0.40m Arena</v>
          </cell>
          <cell r="C66" t="str">
            <v>un</v>
          </cell>
          <cell r="D66">
            <v>2555</v>
          </cell>
        </row>
        <row r="67">
          <cell r="B67" t="str">
            <v>Bloque de Napolitano 0.07x0.15x0.40m Gris</v>
          </cell>
          <cell r="C67" t="str">
            <v>un</v>
          </cell>
          <cell r="D67">
            <v>2350</v>
          </cell>
        </row>
        <row r="68">
          <cell r="B68" t="str">
            <v>Bloque de Napolitano 0.07x0.15x0.40m Arena</v>
          </cell>
          <cell r="C68" t="str">
            <v>un</v>
          </cell>
          <cell r="D68">
            <v>2755</v>
          </cell>
        </row>
        <row r="69">
          <cell r="B69" t="str">
            <v>Calado BANDASSI</v>
          </cell>
          <cell r="C69" t="str">
            <v>m2</v>
          </cell>
          <cell r="D69">
            <v>327450</v>
          </cell>
        </row>
        <row r="71">
          <cell r="B71" t="str">
            <v>Placa LYSSY 120</v>
          </cell>
          <cell r="C71" t="str">
            <v>m2</v>
          </cell>
          <cell r="D71">
            <v>212100</v>
          </cell>
        </row>
        <row r="72">
          <cell r="B72" t="str">
            <v>Piso Deck 1.00m</v>
          </cell>
          <cell r="C72" t="str">
            <v>un</v>
          </cell>
          <cell r="D72">
            <v>31499.3</v>
          </cell>
        </row>
        <row r="73">
          <cell r="B73" t="str">
            <v xml:space="preserve">Bloque Macizo Guia - Amarillo </v>
          </cell>
          <cell r="C73" t="str">
            <v>un</v>
          </cell>
          <cell r="D73">
            <v>4200.7</v>
          </cell>
        </row>
        <row r="74">
          <cell r="B74" t="str">
            <v xml:space="preserve">Bloque Macizo Alerta - Amarillo </v>
          </cell>
          <cell r="C74" t="str">
            <v>un</v>
          </cell>
          <cell r="D74">
            <v>4200.7</v>
          </cell>
        </row>
        <row r="75">
          <cell r="B75" t="str">
            <v xml:space="preserve">Adoquín Macizo 6x10x20 </v>
          </cell>
          <cell r="C75" t="str">
            <v>un</v>
          </cell>
          <cell r="D75">
            <v>2650</v>
          </cell>
        </row>
        <row r="76">
          <cell r="B76" t="str">
            <v xml:space="preserve">Adoquín Macizo 8x10x20 </v>
          </cell>
          <cell r="C76" t="str">
            <v>un</v>
          </cell>
          <cell r="D76">
            <v>2338.35</v>
          </cell>
        </row>
        <row r="77">
          <cell r="B77" t="str">
            <v>Gramoquín 400x400x80 mm</v>
          </cell>
          <cell r="C77" t="str">
            <v>un</v>
          </cell>
          <cell r="D77">
            <v>9230</v>
          </cell>
        </row>
        <row r="78">
          <cell r="B78" t="str">
            <v>Lagrimal Muro 15 50x22x4,5 cm</v>
          </cell>
          <cell r="C78" t="str">
            <v>un</v>
          </cell>
          <cell r="D78">
            <v>13101.9</v>
          </cell>
        </row>
        <row r="79">
          <cell r="B79" t="str">
            <v>Cordón de 15 x 45 x 80 cm</v>
          </cell>
          <cell r="C79" t="str">
            <v>un</v>
          </cell>
          <cell r="D79">
            <v>44680</v>
          </cell>
        </row>
        <row r="80">
          <cell r="B80" t="str">
            <v xml:space="preserve">Banca en Concreto </v>
          </cell>
          <cell r="C80" t="str">
            <v>un</v>
          </cell>
          <cell r="D80">
            <v>2450000</v>
          </cell>
        </row>
        <row r="81">
          <cell r="B81" t="str">
            <v>Topellanta</v>
          </cell>
          <cell r="C81" t="str">
            <v>un</v>
          </cell>
          <cell r="D81">
            <v>24351</v>
          </cell>
        </row>
        <row r="82">
          <cell r="B82" t="str">
            <v>Caneca Basura en Acero Inoxidable</v>
          </cell>
          <cell r="C82" t="str">
            <v>un</v>
          </cell>
          <cell r="D82">
            <v>1189900</v>
          </cell>
        </row>
        <row r="84">
          <cell r="B84" t="str">
            <v>Detergente Neutro Industrial</v>
          </cell>
          <cell r="C84" t="str">
            <v>lt</v>
          </cell>
          <cell r="D84">
            <v>10312.5</v>
          </cell>
        </row>
        <row r="85">
          <cell r="B85" t="str">
            <v>Hidrofugo Siliconite Transparente</v>
          </cell>
          <cell r="C85" t="str">
            <v>gl</v>
          </cell>
          <cell r="D85">
            <v>116900</v>
          </cell>
        </row>
        <row r="86">
          <cell r="B86" t="str">
            <v>Limpiador fachada de ladrillo</v>
          </cell>
          <cell r="C86" t="str">
            <v>gl</v>
          </cell>
          <cell r="D86">
            <v>26780</v>
          </cell>
        </row>
        <row r="87">
          <cell r="B87" t="str">
            <v>Igol Denso</v>
          </cell>
          <cell r="C87" t="str">
            <v>gl</v>
          </cell>
          <cell r="D87">
            <v>116500</v>
          </cell>
        </row>
        <row r="88">
          <cell r="B88" t="str">
            <v>Imprimante Bituminoso</v>
          </cell>
          <cell r="C88" t="str">
            <v>kg</v>
          </cell>
          <cell r="D88">
            <v>29870</v>
          </cell>
        </row>
        <row r="89">
          <cell r="B89" t="str">
            <v>Impermeabilizante acrilico</v>
          </cell>
          <cell r="C89" t="str">
            <v>gl</v>
          </cell>
          <cell r="D89">
            <v>73990</v>
          </cell>
        </row>
        <row r="90">
          <cell r="B90" t="str">
            <v>Impermeabilizante PVC</v>
          </cell>
          <cell r="C90" t="str">
            <v>m2</v>
          </cell>
          <cell r="D90">
            <v>98300</v>
          </cell>
        </row>
        <row r="91">
          <cell r="B91" t="str">
            <v>Emulsión Asfáltica Impermeabilizante</v>
          </cell>
          <cell r="C91" t="str">
            <v>kg</v>
          </cell>
          <cell r="D91">
            <v>8720</v>
          </cell>
        </row>
        <row r="92">
          <cell r="B92" t="str">
            <v>Geotextil no tejido</v>
          </cell>
          <cell r="C92" t="str">
            <v>m2</v>
          </cell>
          <cell r="D92">
            <v>4500</v>
          </cell>
        </row>
        <row r="93">
          <cell r="B93" t="str">
            <v>Manto asfaltico 2.5mm</v>
          </cell>
          <cell r="C93" t="str">
            <v>ml</v>
          </cell>
          <cell r="D93">
            <v>145120</v>
          </cell>
        </row>
        <row r="94">
          <cell r="B94" t="str">
            <v>Igasol Cubierta</v>
          </cell>
          <cell r="C94" t="str">
            <v>kg</v>
          </cell>
          <cell r="D94">
            <v>19630</v>
          </cell>
        </row>
        <row r="95">
          <cell r="B95" t="str">
            <v>Antisol curar concreto</v>
          </cell>
          <cell r="C95" t="str">
            <v>kg</v>
          </cell>
          <cell r="D95">
            <v>11320</v>
          </cell>
        </row>
        <row r="96">
          <cell r="B96" t="str">
            <v>Desmondante Sika Separol</v>
          </cell>
          <cell r="C96" t="str">
            <v>kg</v>
          </cell>
          <cell r="D96">
            <v>15230</v>
          </cell>
        </row>
        <row r="97">
          <cell r="B97" t="str">
            <v>Acelerante Para Concreto</v>
          </cell>
          <cell r="C97" t="str">
            <v>Kg</v>
          </cell>
          <cell r="D97">
            <v>19560</v>
          </cell>
        </row>
        <row r="98">
          <cell r="B98" t="str">
            <v>Fuidificante para concreto</v>
          </cell>
          <cell r="C98" t="str">
            <v>kg</v>
          </cell>
          <cell r="D98">
            <v>10300</v>
          </cell>
        </row>
        <row r="99">
          <cell r="B99" t="str">
            <v>SikaFluid 25kg</v>
          </cell>
          <cell r="C99" t="str">
            <v>kg</v>
          </cell>
          <cell r="D99">
            <v>508900</v>
          </cell>
        </row>
        <row r="100">
          <cell r="B100" t="str">
            <v>SikaFlex</v>
          </cell>
          <cell r="C100" t="str">
            <v>ml</v>
          </cell>
          <cell r="D100">
            <v>9650</v>
          </cell>
        </row>
        <row r="101">
          <cell r="B101" t="str">
            <v>Catalizador Epóxico</v>
          </cell>
          <cell r="C101" t="str">
            <v>gl</v>
          </cell>
          <cell r="D101">
            <v>165900</v>
          </cell>
        </row>
        <row r="103">
          <cell r="B103" t="str">
            <v>Barniz intemperie brillante</v>
          </cell>
          <cell r="C103" t="str">
            <v>gl</v>
          </cell>
          <cell r="D103">
            <v>45600</v>
          </cell>
        </row>
        <row r="104">
          <cell r="B104" t="str">
            <v>Pintura Esmalte para Metal</v>
          </cell>
          <cell r="C104" t="str">
            <v>gl</v>
          </cell>
          <cell r="D104">
            <v>112900</v>
          </cell>
        </row>
        <row r="105">
          <cell r="B105" t="str">
            <v>Pintura Anticorrosiva</v>
          </cell>
          <cell r="C105" t="str">
            <v>gl</v>
          </cell>
          <cell r="D105">
            <v>70600</v>
          </cell>
        </row>
        <row r="106">
          <cell r="B106" t="str">
            <v>Pintura Alta Asepsia</v>
          </cell>
          <cell r="C106" t="str">
            <v>gl</v>
          </cell>
          <cell r="D106">
            <v>118990</v>
          </cell>
        </row>
        <row r="107">
          <cell r="B107" t="str">
            <v>Pintura Epoxica</v>
          </cell>
          <cell r="C107" t="str">
            <v>gl</v>
          </cell>
          <cell r="D107">
            <v>259900</v>
          </cell>
        </row>
        <row r="108">
          <cell r="B108" t="str">
            <v>Pintura Vinilo tipo I</v>
          </cell>
          <cell r="C108" t="str">
            <v>gl</v>
          </cell>
          <cell r="D108">
            <v>89200</v>
          </cell>
        </row>
        <row r="109">
          <cell r="B109" t="str">
            <v>Pintura Vinilo tipo II</v>
          </cell>
          <cell r="C109" t="str">
            <v>gl</v>
          </cell>
          <cell r="D109">
            <v>59900</v>
          </cell>
        </row>
        <row r="110">
          <cell r="B110" t="str">
            <v>Pintura Fondeo</v>
          </cell>
          <cell r="C110" t="str">
            <v>gl</v>
          </cell>
          <cell r="D110">
            <v>48500</v>
          </cell>
        </row>
        <row r="111">
          <cell r="B111" t="str">
            <v>Pintura Acriltex</v>
          </cell>
          <cell r="C111" t="str">
            <v>gl</v>
          </cell>
          <cell r="D111">
            <v>121900</v>
          </cell>
        </row>
        <row r="112">
          <cell r="B112" t="str">
            <v>Pintura Vinilo Exterior tipo KORAZA</v>
          </cell>
          <cell r="C112" t="str">
            <v>cuñete</v>
          </cell>
          <cell r="D112">
            <v>496900</v>
          </cell>
        </row>
        <row r="113">
          <cell r="B113" t="str">
            <v>Pintura esmalte para exteriores</v>
          </cell>
          <cell r="C113" t="str">
            <v>gl</v>
          </cell>
          <cell r="D113">
            <v>79700</v>
          </cell>
        </row>
        <row r="114">
          <cell r="B114" t="str">
            <v>Pintura Piso</v>
          </cell>
          <cell r="C114" t="str">
            <v>gl</v>
          </cell>
          <cell r="D114">
            <v>132100</v>
          </cell>
        </row>
        <row r="115">
          <cell r="B115" t="str">
            <v>Rodillo</v>
          </cell>
          <cell r="C115" t="str">
            <v>un</v>
          </cell>
          <cell r="D115">
            <v>18900</v>
          </cell>
        </row>
        <row r="116">
          <cell r="B116" t="str">
            <v>Brocha</v>
          </cell>
          <cell r="C116" t="str">
            <v>un</v>
          </cell>
          <cell r="D116">
            <v>15900</v>
          </cell>
        </row>
        <row r="118">
          <cell r="B118" t="str">
            <v>Tex Joint Juntas</v>
          </cell>
          <cell r="C118" t="str">
            <v>gl</v>
          </cell>
          <cell r="D118">
            <v>85200</v>
          </cell>
        </row>
        <row r="119">
          <cell r="B119" t="str">
            <v>Tex Joint Acabado</v>
          </cell>
          <cell r="C119" t="str">
            <v>gl</v>
          </cell>
          <cell r="D119">
            <v>79500</v>
          </cell>
        </row>
        <row r="120">
          <cell r="B120" t="str">
            <v>Nevado Base</v>
          </cell>
          <cell r="C120" t="str">
            <v>m2</v>
          </cell>
          <cell r="D120">
            <v>23166.666666666668</v>
          </cell>
        </row>
        <row r="121">
          <cell r="B121" t="str">
            <v>Nevado Acabado</v>
          </cell>
          <cell r="C121" t="str">
            <v>m2</v>
          </cell>
          <cell r="D121">
            <v>13392.857142857143</v>
          </cell>
        </row>
        <row r="122">
          <cell r="B122" t="str">
            <v>Estuco Acrilico</v>
          </cell>
          <cell r="C122" t="str">
            <v>cuñete</v>
          </cell>
          <cell r="D122">
            <v>113800</v>
          </cell>
        </row>
        <row r="123">
          <cell r="B123" t="str">
            <v>Masilla Cuñete 28kg</v>
          </cell>
          <cell r="C123" t="str">
            <v>cuñete</v>
          </cell>
          <cell r="D123">
            <v>62340</v>
          </cell>
        </row>
        <row r="125">
          <cell r="B125" t="str">
            <v>Cielo Raso de PVC - Blanco</v>
          </cell>
          <cell r="C125" t="str">
            <v>m2</v>
          </cell>
          <cell r="D125">
            <v>45000</v>
          </cell>
        </row>
        <row r="126">
          <cell r="B126" t="str">
            <v>Cielo Raso Multipanel B</v>
          </cell>
          <cell r="C126" t="str">
            <v>m2</v>
          </cell>
          <cell r="D126">
            <v>305620</v>
          </cell>
        </row>
        <row r="127">
          <cell r="B127" t="str">
            <v>Dilatacion en Z</v>
          </cell>
          <cell r="C127" t="str">
            <v>ml</v>
          </cell>
          <cell r="D127">
            <v>6200</v>
          </cell>
        </row>
        <row r="128">
          <cell r="B128" t="str">
            <v>Esquinero 90°</v>
          </cell>
          <cell r="C128" t="str">
            <v>ml</v>
          </cell>
          <cell r="D128">
            <v>6960</v>
          </cell>
        </row>
        <row r="129">
          <cell r="B129" t="str">
            <v>Media Caña en PVC - 6cm</v>
          </cell>
          <cell r="C129" t="str">
            <v>ml</v>
          </cell>
          <cell r="D129">
            <v>13466.666666666666</v>
          </cell>
        </row>
        <row r="130">
          <cell r="B130" t="str">
            <v>Media Caña en PVC - 9cm</v>
          </cell>
          <cell r="C130" t="str">
            <v>ml</v>
          </cell>
          <cell r="D130">
            <v>16500</v>
          </cell>
        </row>
        <row r="131">
          <cell r="B131" t="str">
            <v>Accesorio Media Caña</v>
          </cell>
          <cell r="C131" t="str">
            <v>gl</v>
          </cell>
          <cell r="D131">
            <v>9600</v>
          </cell>
        </row>
        <row r="132">
          <cell r="B132" t="str">
            <v>Registro Desmontable Snap Lock - 60x60</v>
          </cell>
          <cell r="C132" t="str">
            <v>un</v>
          </cell>
          <cell r="D132">
            <v>265000</v>
          </cell>
        </row>
        <row r="133">
          <cell r="B133" t="str">
            <v>Registro Desmontable Snap Lock - 50x50</v>
          </cell>
          <cell r="C133" t="str">
            <v>un</v>
          </cell>
        </row>
        <row r="134">
          <cell r="B134" t="str">
            <v>Registro Desmontable Snap Lock - 40x40</v>
          </cell>
          <cell r="C134" t="str">
            <v>un</v>
          </cell>
        </row>
        <row r="135">
          <cell r="B135" t="str">
            <v>Registro Desmontable Snap Lock - 20x20</v>
          </cell>
          <cell r="D135">
            <v>60000</v>
          </cell>
        </row>
        <row r="137">
          <cell r="B137" t="str">
            <v>Placa de Yeso</v>
          </cell>
          <cell r="C137" t="str">
            <v>un</v>
          </cell>
          <cell r="D137">
            <v>41920</v>
          </cell>
        </row>
        <row r="138">
          <cell r="B138" t="str">
            <v>Placa de Yeso RH</v>
          </cell>
          <cell r="C138" t="str">
            <v>un</v>
          </cell>
          <cell r="D138">
            <v>85750</v>
          </cell>
        </row>
        <row r="139">
          <cell r="B139" t="str">
            <v>Placa de Yeso RF</v>
          </cell>
          <cell r="C139" t="str">
            <v>un</v>
          </cell>
          <cell r="D139">
            <v>109860</v>
          </cell>
        </row>
        <row r="140">
          <cell r="B140" t="str">
            <v>Placa de Yeso EXTRADURA</v>
          </cell>
          <cell r="C140" t="str">
            <v>un</v>
          </cell>
          <cell r="D140">
            <v>105800</v>
          </cell>
        </row>
        <row r="141">
          <cell r="B141" t="str">
            <v>Placa de Yeso EXSOUND</v>
          </cell>
          <cell r="C141" t="str">
            <v>un</v>
          </cell>
          <cell r="D141">
            <v>286210</v>
          </cell>
        </row>
        <row r="142">
          <cell r="B142" t="str">
            <v>Placa de Fibrocemento 6mm</v>
          </cell>
          <cell r="C142" t="str">
            <v>un</v>
          </cell>
          <cell r="D142">
            <v>55970</v>
          </cell>
        </row>
        <row r="143">
          <cell r="B143" t="str">
            <v>Placa de Fibrocemento 8mm</v>
          </cell>
          <cell r="C143" t="str">
            <v>un</v>
          </cell>
          <cell r="D143">
            <v>75100</v>
          </cell>
        </row>
        <row r="144">
          <cell r="B144" t="str">
            <v>Placa de Fibrocemento 10mm</v>
          </cell>
          <cell r="C144" t="str">
            <v>un</v>
          </cell>
          <cell r="D144">
            <v>93900</v>
          </cell>
        </row>
        <row r="145">
          <cell r="B145" t="str">
            <v>Placa de Fibrocemento 12mm</v>
          </cell>
          <cell r="C145" t="str">
            <v>un</v>
          </cell>
          <cell r="D145">
            <v>122960</v>
          </cell>
        </row>
        <row r="146">
          <cell r="B146" t="str">
            <v>Placa de Fibrocemento 14mm</v>
          </cell>
          <cell r="C146" t="str">
            <v>un</v>
          </cell>
          <cell r="D146">
            <v>134950</v>
          </cell>
        </row>
        <row r="147">
          <cell r="B147" t="str">
            <v>Placa de Fibrocemento 20mm</v>
          </cell>
          <cell r="C147" t="str">
            <v>un</v>
          </cell>
          <cell r="D147">
            <v>192310</v>
          </cell>
        </row>
        <row r="149">
          <cell r="B149" t="str">
            <v>Frescasa Eco 2-1/2Pg</v>
          </cell>
          <cell r="C149" t="str">
            <v>m2</v>
          </cell>
          <cell r="D149">
            <v>11750</v>
          </cell>
        </row>
        <row r="150">
          <cell r="B150" t="str">
            <v>Panel EPS Durapanel</v>
          </cell>
          <cell r="C150" t="str">
            <v>m2</v>
          </cell>
          <cell r="D150">
            <v>53500</v>
          </cell>
        </row>
        <row r="151">
          <cell r="B151" t="str">
            <v>Accesorio Durapanel RG xx</v>
          </cell>
          <cell r="C151" t="str">
            <v>m2</v>
          </cell>
          <cell r="D151">
            <v>12018</v>
          </cell>
        </row>
        <row r="153">
          <cell r="B153" t="str">
            <v>Omegas</v>
          </cell>
          <cell r="C153" t="str">
            <v>un</v>
          </cell>
          <cell r="D153">
            <v>5200</v>
          </cell>
        </row>
        <row r="154">
          <cell r="B154" t="str">
            <v>Viguetas</v>
          </cell>
          <cell r="C154" t="str">
            <v>un</v>
          </cell>
          <cell r="D154">
            <v>7520</v>
          </cell>
        </row>
        <row r="155">
          <cell r="B155" t="str">
            <v>Angulos 2x2</v>
          </cell>
          <cell r="C155" t="str">
            <v>un</v>
          </cell>
          <cell r="D155">
            <v>3650</v>
          </cell>
        </row>
        <row r="156">
          <cell r="B156" t="str">
            <v>Paral base 6 cal 26</v>
          </cell>
          <cell r="C156" t="str">
            <v>un</v>
          </cell>
          <cell r="D156">
            <v>8850</v>
          </cell>
        </row>
        <row r="157">
          <cell r="B157" t="str">
            <v>Canal base 6 cal 26</v>
          </cell>
          <cell r="C157" t="str">
            <v>un</v>
          </cell>
          <cell r="D157">
            <v>9820</v>
          </cell>
        </row>
        <row r="158">
          <cell r="B158" t="str">
            <v>Paral base 6 cal 24</v>
          </cell>
          <cell r="C158" t="str">
            <v>un</v>
          </cell>
          <cell r="D158">
            <v>11320</v>
          </cell>
        </row>
        <row r="159">
          <cell r="B159" t="str">
            <v>Canal base 6 cal 24</v>
          </cell>
          <cell r="C159" t="str">
            <v>un</v>
          </cell>
          <cell r="D159">
            <v>11600</v>
          </cell>
        </row>
        <row r="160">
          <cell r="B160" t="str">
            <v>Paral base 6 cal 20</v>
          </cell>
          <cell r="C160" t="str">
            <v>un</v>
          </cell>
          <cell r="D160">
            <v>25500</v>
          </cell>
        </row>
        <row r="161">
          <cell r="B161" t="str">
            <v>Canal base 6 cal 20</v>
          </cell>
          <cell r="C161" t="str">
            <v>un</v>
          </cell>
          <cell r="D161">
            <v>14200</v>
          </cell>
        </row>
        <row r="162">
          <cell r="B162" t="str">
            <v>Paral base 9 cal 24</v>
          </cell>
          <cell r="C162" t="str">
            <v>un</v>
          </cell>
          <cell r="D162">
            <v>19200</v>
          </cell>
        </row>
        <row r="163">
          <cell r="B163" t="str">
            <v>Canal base 9 cal 24</v>
          </cell>
          <cell r="C163" t="str">
            <v>un</v>
          </cell>
          <cell r="D163">
            <v>16150</v>
          </cell>
        </row>
        <row r="164">
          <cell r="B164" t="str">
            <v>Paral base 9 cal 20</v>
          </cell>
          <cell r="C164" t="str">
            <v>un</v>
          </cell>
          <cell r="D164">
            <v>23400</v>
          </cell>
        </row>
        <row r="165">
          <cell r="B165" t="str">
            <v>Canal base 9 cal 20</v>
          </cell>
          <cell r="C165" t="str">
            <v>un</v>
          </cell>
          <cell r="D165">
            <v>21740</v>
          </cell>
        </row>
        <row r="167">
          <cell r="B167" t="str">
            <v>Tornillo 7*7/16 Estructura</v>
          </cell>
          <cell r="C167" t="str">
            <v>un</v>
          </cell>
          <cell r="D167">
            <v>46.65</v>
          </cell>
        </row>
        <row r="168">
          <cell r="B168" t="str">
            <v>Tornillo 6*1" Placa</v>
          </cell>
          <cell r="C168" t="str">
            <v>un</v>
          </cell>
          <cell r="D168">
            <v>43.65</v>
          </cell>
        </row>
        <row r="169">
          <cell r="B169" t="str">
            <v>Tornillo Punta broca 6*1"</v>
          </cell>
          <cell r="C169" t="str">
            <v>un</v>
          </cell>
          <cell r="D169">
            <v>81</v>
          </cell>
        </row>
        <row r="170">
          <cell r="B170" t="str">
            <v>Chazo Puntilla</v>
          </cell>
          <cell r="C170" t="str">
            <v>un</v>
          </cell>
          <cell r="D170">
            <v>210</v>
          </cell>
        </row>
        <row r="172">
          <cell r="B172" t="str">
            <v>Madera Plastica</v>
          </cell>
          <cell r="C172" t="str">
            <v>ml</v>
          </cell>
          <cell r="D172">
            <v>11583.333333333334</v>
          </cell>
        </row>
        <row r="173">
          <cell r="B173" t="str">
            <v>Cinta malla</v>
          </cell>
          <cell r="C173" t="str">
            <v>ml</v>
          </cell>
          <cell r="D173">
            <v>188.88888888888889</v>
          </cell>
        </row>
        <row r="174">
          <cell r="B174" t="str">
            <v>Malla de refuerzo Fibra de Vidrio</v>
          </cell>
          <cell r="C174" t="str">
            <v>m2</v>
          </cell>
          <cell r="D174">
            <v>14500</v>
          </cell>
        </row>
        <row r="175">
          <cell r="B175" t="str">
            <v>Cinta Papel</v>
          </cell>
          <cell r="C175" t="str">
            <v>ml</v>
          </cell>
          <cell r="D175">
            <v>210.86956521739131</v>
          </cell>
        </row>
        <row r="176">
          <cell r="B176" t="str">
            <v>Hoja de lija</v>
          </cell>
          <cell r="C176" t="str">
            <v>un</v>
          </cell>
          <cell r="D176">
            <v>1560</v>
          </cell>
        </row>
        <row r="177">
          <cell r="B177" t="str">
            <v>Carton Corrugado</v>
          </cell>
          <cell r="C177" t="str">
            <v>ml</v>
          </cell>
          <cell r="D177">
            <v>5430</v>
          </cell>
        </row>
        <row r="178">
          <cell r="B178" t="str">
            <v>Plastico Negro 3m de ancho Cal 3,5</v>
          </cell>
          <cell r="C178" t="str">
            <v>m2</v>
          </cell>
          <cell r="D178">
            <v>2780</v>
          </cell>
        </row>
        <row r="179">
          <cell r="B179" t="str">
            <v>Poliestileno Expandido x banda 10cm</v>
          </cell>
          <cell r="C179" t="str">
            <v>ml</v>
          </cell>
          <cell r="D179">
            <v>2200</v>
          </cell>
        </row>
        <row r="180">
          <cell r="B180" t="str">
            <v>Sellalon</v>
          </cell>
          <cell r="C180" t="str">
            <v>ml</v>
          </cell>
          <cell r="D180">
            <v>2130</v>
          </cell>
        </row>
        <row r="182">
          <cell r="B182" t="str">
            <v>Mastico</v>
          </cell>
          <cell r="C182" t="str">
            <v>bulto</v>
          </cell>
          <cell r="D182">
            <v>31200</v>
          </cell>
        </row>
        <row r="183">
          <cell r="B183" t="str">
            <v>Pega para ceramica</v>
          </cell>
          <cell r="C183" t="str">
            <v>m2</v>
          </cell>
          <cell r="D183">
            <v>10200</v>
          </cell>
        </row>
        <row r="184">
          <cell r="B184" t="str">
            <v>Pega para porcelanato</v>
          </cell>
          <cell r="C184" t="str">
            <v>m2</v>
          </cell>
          <cell r="D184">
            <v>21096</v>
          </cell>
        </row>
        <row r="185">
          <cell r="B185" t="str">
            <v>Pegamento Baldosa</v>
          </cell>
          <cell r="C185" t="str">
            <v>m2</v>
          </cell>
          <cell r="D185">
            <v>18850</v>
          </cell>
        </row>
        <row r="186">
          <cell r="B186" t="str">
            <v>Pega para Baldosa de grano</v>
          </cell>
          <cell r="C186" t="str">
            <v>bulto</v>
          </cell>
          <cell r="D186">
            <v>58000</v>
          </cell>
        </row>
        <row r="187">
          <cell r="B187" t="str">
            <v>Color Boquilla Baldosa</v>
          </cell>
          <cell r="C187" t="str">
            <v>m2</v>
          </cell>
          <cell r="D187">
            <v>7230</v>
          </cell>
        </row>
        <row r="188">
          <cell r="B188" t="str">
            <v>Boquilla para enchape</v>
          </cell>
          <cell r="C188" t="str">
            <v>m2</v>
          </cell>
          <cell r="D188">
            <v>4637.5</v>
          </cell>
        </row>
        <row r="189">
          <cell r="B189" t="str">
            <v>Pegamento XL Tradicional</v>
          </cell>
          <cell r="C189" t="str">
            <v>cc</v>
          </cell>
          <cell r="D189">
            <v>12000</v>
          </cell>
        </row>
        <row r="190">
          <cell r="B190" t="str">
            <v>Estopa</v>
          </cell>
          <cell r="C190" t="str">
            <v>kg</v>
          </cell>
          <cell r="D190">
            <v>19950</v>
          </cell>
        </row>
        <row r="191">
          <cell r="B191" t="str">
            <v>Crucetas</v>
          </cell>
          <cell r="C191" t="str">
            <v>un</v>
          </cell>
          <cell r="D191">
            <v>39.5</v>
          </cell>
        </row>
        <row r="192">
          <cell r="B192" t="str">
            <v>Dilatación de Junta aluminio</v>
          </cell>
          <cell r="C192" t="str">
            <v>ml</v>
          </cell>
          <cell r="D192">
            <v>46120</v>
          </cell>
        </row>
        <row r="193">
          <cell r="B193" t="str">
            <v>Dilatación plastica 1 Metro LineaI x 2.5 cm ancho</v>
          </cell>
          <cell r="C193" t="str">
            <v>ml</v>
          </cell>
          <cell r="D193">
            <v>1598.360655737705</v>
          </cell>
        </row>
        <row r="194">
          <cell r="B194" t="str">
            <v>Dilatación Bronce 1 Metro LineaI x 2.5 cm ancho</v>
          </cell>
          <cell r="C194" t="str">
            <v>ml</v>
          </cell>
          <cell r="D194">
            <v>24000</v>
          </cell>
        </row>
        <row r="195">
          <cell r="B195" t="str">
            <v>Win en Aluminio (Guardacanto)</v>
          </cell>
          <cell r="C195" t="str">
            <v>ml</v>
          </cell>
          <cell r="D195">
            <v>3250</v>
          </cell>
        </row>
        <row r="198">
          <cell r="B198" t="str">
            <v>Ceramica</v>
          </cell>
          <cell r="C198" t="str">
            <v>m2</v>
          </cell>
          <cell r="D198">
            <v>67200</v>
          </cell>
        </row>
        <row r="199">
          <cell r="B199" t="str">
            <v>Enchape Brick 7,1*21,7</v>
          </cell>
          <cell r="C199" t="str">
            <v>m2</v>
          </cell>
          <cell r="D199">
            <v>115500</v>
          </cell>
        </row>
        <row r="200">
          <cell r="B200" t="str">
            <v>Piso tipo gres 30x30</v>
          </cell>
          <cell r="C200" t="str">
            <v>m2</v>
          </cell>
          <cell r="D200">
            <v>45730</v>
          </cell>
        </row>
        <row r="201">
          <cell r="B201" t="str">
            <v>Porcelanato</v>
          </cell>
          <cell r="C201" t="str">
            <v>m2</v>
          </cell>
          <cell r="D201">
            <v>85000</v>
          </cell>
        </row>
        <row r="202">
          <cell r="B202" t="str">
            <v>Piso Porcelanato Rectificado Gris</v>
          </cell>
          <cell r="C202" t="str">
            <v>m2</v>
          </cell>
          <cell r="D202">
            <v>81350</v>
          </cell>
        </row>
        <row r="203">
          <cell r="B203" t="str">
            <v>Baldosa de Grano Interior</v>
          </cell>
          <cell r="C203" t="str">
            <v>m2</v>
          </cell>
          <cell r="D203">
            <v>148200</v>
          </cell>
        </row>
        <row r="204">
          <cell r="B204" t="str">
            <v>Baldosa de Grano Exterior</v>
          </cell>
          <cell r="C204" t="str">
            <v>m2</v>
          </cell>
          <cell r="D204">
            <v>168400</v>
          </cell>
        </row>
        <row r="205">
          <cell r="B205" t="str">
            <v>Baldosa de Grano Interior EVOCA 15X15</v>
          </cell>
          <cell r="C205" t="str">
            <v>m2</v>
          </cell>
          <cell r="D205">
            <v>373100</v>
          </cell>
        </row>
        <row r="206">
          <cell r="B206" t="str">
            <v>Baldosa de Grano Interior EVOCA 20X20</v>
          </cell>
          <cell r="C206" t="str">
            <v>m2</v>
          </cell>
          <cell r="D206">
            <v>271620</v>
          </cell>
        </row>
        <row r="207">
          <cell r="B207" t="str">
            <v>Piso Laminado 8mm Centur AC4</v>
          </cell>
          <cell r="C207" t="str">
            <v>m2</v>
          </cell>
          <cell r="D207">
            <v>25730</v>
          </cell>
        </row>
        <row r="208">
          <cell r="B208" t="str">
            <v>Piso Vinilo</v>
          </cell>
          <cell r="C208" t="str">
            <v>m2</v>
          </cell>
          <cell r="D208">
            <v>73208.800000000003</v>
          </cell>
        </row>
        <row r="210">
          <cell r="B210" t="str">
            <v>Guardaescoba en Madera, altura 8cm aprox</v>
          </cell>
          <cell r="C210" t="str">
            <v>ml</v>
          </cell>
          <cell r="D210">
            <v>9240</v>
          </cell>
        </row>
        <row r="211">
          <cell r="B211" t="str">
            <v>Zocalo Recto de granito</v>
          </cell>
          <cell r="C211" t="str">
            <v>ml</v>
          </cell>
          <cell r="D211">
            <v>44850</v>
          </cell>
        </row>
        <row r="212">
          <cell r="B212" t="str">
            <v>Zocalo Media Caña de granito</v>
          </cell>
          <cell r="C212" t="str">
            <v>ml</v>
          </cell>
          <cell r="D212">
            <v>46240</v>
          </cell>
        </row>
        <row r="213">
          <cell r="B213" t="str">
            <v>Superlon rollo 2mm reforzado polietileno</v>
          </cell>
          <cell r="C213" t="str">
            <v>m2</v>
          </cell>
          <cell r="D213">
            <v>3520</v>
          </cell>
        </row>
        <row r="214">
          <cell r="B214" t="str">
            <v>Antideslizante Fundido</v>
          </cell>
          <cell r="C214" t="str">
            <v>ml</v>
          </cell>
          <cell r="D214">
            <v>34650</v>
          </cell>
        </row>
        <row r="217">
          <cell r="B217" t="str">
            <v>Acero de 37000 psi</v>
          </cell>
          <cell r="C217" t="str">
            <v>kg</v>
          </cell>
          <cell r="D217">
            <v>4890</v>
          </cell>
        </row>
        <row r="218">
          <cell r="B218" t="str">
            <v>Acero de 60000 psi</v>
          </cell>
          <cell r="C218" t="str">
            <v>kg</v>
          </cell>
          <cell r="D218">
            <v>5470</v>
          </cell>
        </row>
        <row r="219">
          <cell r="B219" t="str">
            <v>Grafil 5.5mm</v>
          </cell>
          <cell r="C219" t="str">
            <v>kg</v>
          </cell>
          <cell r="D219">
            <v>6970</v>
          </cell>
        </row>
        <row r="220">
          <cell r="B220" t="str">
            <v>Grafil 4.0mm</v>
          </cell>
          <cell r="C220" t="str">
            <v>kg</v>
          </cell>
          <cell r="D220">
            <v>3930</v>
          </cell>
        </row>
        <row r="221">
          <cell r="B221" t="str">
            <v>Malla electrosoldada 15x15 4mm XX-84</v>
          </cell>
          <cell r="C221" t="str">
            <v>m2</v>
          </cell>
          <cell r="D221">
            <v>10941.418439716312</v>
          </cell>
        </row>
        <row r="222">
          <cell r="B222" t="str">
            <v>Malla electrosoldada D-257 15x15  Ø 7-7 mm</v>
          </cell>
          <cell r="C222" t="str">
            <v>m2</v>
          </cell>
          <cell r="D222">
            <v>5720</v>
          </cell>
        </row>
        <row r="223">
          <cell r="B223" t="str">
            <v>Malla electrosoldada 15x15 4mm XX-106</v>
          </cell>
          <cell r="C223" t="str">
            <v>m2</v>
          </cell>
          <cell r="D223">
            <v>13281.843971631204</v>
          </cell>
        </row>
        <row r="224">
          <cell r="B224" t="str">
            <v>Alambre quemado</v>
          </cell>
          <cell r="C224" t="str">
            <v>kg</v>
          </cell>
          <cell r="D224">
            <v>7250</v>
          </cell>
        </row>
        <row r="227">
          <cell r="B227" t="str">
            <v>Canoa Metálica</v>
          </cell>
          <cell r="C227" t="str">
            <v>ml</v>
          </cell>
          <cell r="D227">
            <v>89800</v>
          </cell>
        </row>
        <row r="228">
          <cell r="B228" t="str">
            <v>Canoa - Canal Plástica</v>
          </cell>
          <cell r="C228" t="str">
            <v>ml</v>
          </cell>
          <cell r="D228">
            <v>32950</v>
          </cell>
        </row>
        <row r="229">
          <cell r="B229" t="str">
            <v>Soporte de canoa</v>
          </cell>
          <cell r="C229" t="str">
            <v>un</v>
          </cell>
          <cell r="D229">
            <v>7950</v>
          </cell>
        </row>
        <row r="230">
          <cell r="B230" t="str">
            <v>Embudo galvanizado</v>
          </cell>
          <cell r="C230" t="str">
            <v>un</v>
          </cell>
          <cell r="D230">
            <v>21500</v>
          </cell>
        </row>
        <row r="231">
          <cell r="B231" t="str">
            <v>Accesorio PVC para Canoa</v>
          </cell>
          <cell r="C231" t="str">
            <v>un</v>
          </cell>
          <cell r="D231">
            <v>33250</v>
          </cell>
        </row>
        <row r="233">
          <cell r="B233" t="str">
            <v>Vidrio Laminado INCOLORO 10mm</v>
          </cell>
          <cell r="C233" t="str">
            <v>m2</v>
          </cell>
          <cell r="D233">
            <v>480000</v>
          </cell>
        </row>
        <row r="234">
          <cell r="B234" t="str">
            <v>Lamina Policarbonato 8mm</v>
          </cell>
          <cell r="C234" t="str">
            <v>m2</v>
          </cell>
          <cell r="D234">
            <v>59950</v>
          </cell>
        </row>
        <row r="235">
          <cell r="B235" t="str">
            <v>Pefil U de remate en Aluminio</v>
          </cell>
          <cell r="C235" t="str">
            <v>ml</v>
          </cell>
          <cell r="D235">
            <v>6066.6666666666661</v>
          </cell>
        </row>
        <row r="236">
          <cell r="B236" t="str">
            <v>Kit Conector Tapa Y Base</v>
          </cell>
          <cell r="C236" t="str">
            <v>ml</v>
          </cell>
          <cell r="D236">
            <v>23179.310344827587</v>
          </cell>
        </row>
        <row r="237">
          <cell r="B237" t="str">
            <v>Cinta Antidust 25mm</v>
          </cell>
          <cell r="C237" t="str">
            <v>ml</v>
          </cell>
          <cell r="D237">
            <v>3500</v>
          </cell>
        </row>
        <row r="238">
          <cell r="B238" t="str">
            <v>Teja UPVC Cresta Alta 2.5mm</v>
          </cell>
          <cell r="C238" t="str">
            <v>m2</v>
          </cell>
          <cell r="D238">
            <v>28740</v>
          </cell>
        </row>
        <row r="239">
          <cell r="B239" t="str">
            <v>Teja UPVC Cresta Baja 2mm</v>
          </cell>
          <cell r="C239" t="str">
            <v>m2</v>
          </cell>
          <cell r="D239">
            <v>23870</v>
          </cell>
        </row>
        <row r="240">
          <cell r="B240" t="str">
            <v>Caballete Teja UPVC</v>
          </cell>
          <cell r="C240" t="str">
            <v>un</v>
          </cell>
          <cell r="D240">
            <v>35850</v>
          </cell>
        </row>
        <row r="241">
          <cell r="B241" t="str">
            <v>Teja Blanca 5.9X0.94M 2.5Mm</v>
          </cell>
          <cell r="C241" t="str">
            <v>ml</v>
          </cell>
          <cell r="D241">
            <v>57400</v>
          </cell>
        </row>
        <row r="242">
          <cell r="B242" t="str">
            <v>Teja Española AC</v>
          </cell>
          <cell r="C242" t="str">
            <v>m2</v>
          </cell>
          <cell r="D242">
            <v>64900</v>
          </cell>
        </row>
        <row r="243">
          <cell r="B243" t="str">
            <v>Caballete Teja Española AC</v>
          </cell>
          <cell r="C243" t="str">
            <v>ml</v>
          </cell>
          <cell r="D243">
            <v>38000</v>
          </cell>
        </row>
        <row r="244">
          <cell r="B244" t="str">
            <v>Ganchos para teja AC</v>
          </cell>
          <cell r="C244" t="str">
            <v>un</v>
          </cell>
          <cell r="D244">
            <v>300</v>
          </cell>
        </row>
        <row r="245">
          <cell r="B245" t="str">
            <v>Teja Cerámica</v>
          </cell>
          <cell r="C245" t="str">
            <v>un</v>
          </cell>
          <cell r="D245">
            <v>1750</v>
          </cell>
        </row>
        <row r="246">
          <cell r="B246" t="str">
            <v>Amarras</v>
          </cell>
          <cell r="C246" t="str">
            <v>un</v>
          </cell>
          <cell r="D246">
            <v>230</v>
          </cell>
        </row>
        <row r="247">
          <cell r="B247" t="str">
            <v>Tornillo con Capelote</v>
          </cell>
          <cell r="C247" t="str">
            <v>un</v>
          </cell>
          <cell r="D247">
            <v>930</v>
          </cell>
        </row>
        <row r="248">
          <cell r="B248" t="str">
            <v>Silicona</v>
          </cell>
          <cell r="C248" t="str">
            <v>un</v>
          </cell>
          <cell r="D248">
            <v>33900</v>
          </cell>
        </row>
        <row r="250">
          <cell r="B250" t="str">
            <v>Madera Triplex 3.2mm</v>
          </cell>
          <cell r="C250" t="str">
            <v>m2</v>
          </cell>
          <cell r="D250">
            <v>14420</v>
          </cell>
        </row>
        <row r="251">
          <cell r="B251" t="str">
            <v>Madera Triplex 6.5mm</v>
          </cell>
          <cell r="C251" t="str">
            <v>m2</v>
          </cell>
          <cell r="D251">
            <v>27850</v>
          </cell>
        </row>
        <row r="252">
          <cell r="B252" t="str">
            <v>Madera Triplex 9mm</v>
          </cell>
          <cell r="C252" t="str">
            <v>m2</v>
          </cell>
          <cell r="D252">
            <v>37410</v>
          </cell>
        </row>
        <row r="253">
          <cell r="B253" t="str">
            <v>Madera Triplex 12mm</v>
          </cell>
          <cell r="C253" t="str">
            <v>m2</v>
          </cell>
          <cell r="D253">
            <v>41851</v>
          </cell>
        </row>
        <row r="254">
          <cell r="B254" t="str">
            <v>Madera Triplex 15mm</v>
          </cell>
          <cell r="C254" t="str">
            <v>m2</v>
          </cell>
          <cell r="D254">
            <v>48980</v>
          </cell>
        </row>
        <row r="255">
          <cell r="B255" t="str">
            <v>Placa OSB 9.5mm</v>
          </cell>
          <cell r="C255" t="str">
            <v>m2</v>
          </cell>
          <cell r="D255">
            <v>31600</v>
          </cell>
        </row>
        <row r="256">
          <cell r="B256" t="str">
            <v>Placa OSB 11mm</v>
          </cell>
          <cell r="C256" t="str">
            <v>m2</v>
          </cell>
          <cell r="D256">
            <v>34201</v>
          </cell>
        </row>
        <row r="257">
          <cell r="B257" t="str">
            <v>Placa OSB 15mm</v>
          </cell>
          <cell r="C257" t="str">
            <v>m2</v>
          </cell>
          <cell r="D257">
            <v>47602</v>
          </cell>
        </row>
        <row r="258">
          <cell r="B258" t="str">
            <v>Formaleta MUF RH 18mm</v>
          </cell>
          <cell r="C258" t="str">
            <v>m2</v>
          </cell>
          <cell r="D258">
            <v>60557</v>
          </cell>
        </row>
        <row r="260">
          <cell r="B260" t="str">
            <v>Bastidor 5cmx5cm</v>
          </cell>
          <cell r="C260" t="str">
            <v>ml</v>
          </cell>
          <cell r="D260">
            <v>3066.6666666666665</v>
          </cell>
        </row>
        <row r="261">
          <cell r="B261" t="str">
            <v>Bastidor 4cmx4cm</v>
          </cell>
          <cell r="C261" t="str">
            <v>ml</v>
          </cell>
          <cell r="D261">
            <v>2066.6666666666665</v>
          </cell>
        </row>
        <row r="262">
          <cell r="B262" t="str">
            <v>Tabla 25 x 3/4 x 3m</v>
          </cell>
          <cell r="C262" t="str">
            <v>ml</v>
          </cell>
          <cell r="D262">
            <v>5933.333333333333</v>
          </cell>
        </row>
        <row r="263">
          <cell r="B263" t="str">
            <v>Listo de sajo de 5 x 3 cm x 2.5m (varilla)</v>
          </cell>
          <cell r="C263" t="str">
            <v>ml</v>
          </cell>
          <cell r="D263">
            <v>2500</v>
          </cell>
        </row>
        <row r="264">
          <cell r="B264" t="str">
            <v>Guadua 6m</v>
          </cell>
          <cell r="C264" t="str">
            <v>un</v>
          </cell>
          <cell r="D264">
            <v>45600</v>
          </cell>
        </row>
        <row r="265">
          <cell r="B265" t="str">
            <v>Estacón 2.20m x 7-9cm</v>
          </cell>
          <cell r="C265" t="str">
            <v>un</v>
          </cell>
          <cell r="D265">
            <v>18500</v>
          </cell>
        </row>
        <row r="266">
          <cell r="B266" t="str">
            <v>Poste 8 metros</v>
          </cell>
          <cell r="C266" t="str">
            <v>un</v>
          </cell>
          <cell r="D266">
            <v>512000</v>
          </cell>
        </row>
        <row r="267">
          <cell r="B267" t="str">
            <v>Varilla de Madera 1cmx1cm - 2cmx2cm</v>
          </cell>
          <cell r="C267" t="str">
            <v>ml</v>
          </cell>
          <cell r="D267">
            <v>2930</v>
          </cell>
        </row>
        <row r="268">
          <cell r="B268" t="str">
            <v>Tablilla en madera pino</v>
          </cell>
          <cell r="C268" t="str">
            <v>un</v>
          </cell>
          <cell r="D268">
            <v>5740</v>
          </cell>
        </row>
        <row r="270">
          <cell r="B270" t="str">
            <v>Tornillo autoperforante</v>
          </cell>
          <cell r="C270" t="str">
            <v>un</v>
          </cell>
          <cell r="D270">
            <v>220</v>
          </cell>
        </row>
        <row r="271">
          <cell r="B271" t="str">
            <v xml:space="preserve">Tornillo Autoperforante Hexagonal </v>
          </cell>
          <cell r="C271" t="str">
            <v>un</v>
          </cell>
          <cell r="D271">
            <v>720</v>
          </cell>
        </row>
        <row r="272">
          <cell r="B272" t="str">
            <v>Perno 5/8" 20cm</v>
          </cell>
          <cell r="C272" t="str">
            <v>un</v>
          </cell>
          <cell r="D272">
            <v>7850</v>
          </cell>
        </row>
        <row r="273">
          <cell r="B273" t="str">
            <v>Perno 1" 70cm</v>
          </cell>
          <cell r="C273" t="str">
            <v>un</v>
          </cell>
          <cell r="D273">
            <v>30851</v>
          </cell>
        </row>
        <row r="274">
          <cell r="B274" t="str">
            <v>Puntilla</v>
          </cell>
          <cell r="C274" t="str">
            <v>lb</v>
          </cell>
          <cell r="D274">
            <v>9900</v>
          </cell>
        </row>
        <row r="275">
          <cell r="B275" t="str">
            <v>Nylon</v>
          </cell>
          <cell r="C275" t="str">
            <v>Rollo</v>
          </cell>
          <cell r="D275">
            <v>10900</v>
          </cell>
        </row>
        <row r="276">
          <cell r="B276" t="str">
            <v>Grapas</v>
          </cell>
          <cell r="C276" t="str">
            <v>kg</v>
          </cell>
          <cell r="D276">
            <v>7990</v>
          </cell>
        </row>
        <row r="278">
          <cell r="B278" t="str">
            <v>Bloquelon 0.8x0.23x0.08</v>
          </cell>
          <cell r="C278" t="str">
            <v>un</v>
          </cell>
          <cell r="D278">
            <v>4700</v>
          </cell>
        </row>
        <row r="279">
          <cell r="B279" t="str">
            <v>Perfil Placafacil 1.5mm</v>
          </cell>
          <cell r="C279" t="str">
            <v>ml</v>
          </cell>
          <cell r="D279">
            <v>26870</v>
          </cell>
        </row>
        <row r="280">
          <cell r="B280" t="str">
            <v xml:space="preserve">Perfil Placafacil 1.4mm </v>
          </cell>
          <cell r="C280" t="str">
            <v>ml</v>
          </cell>
          <cell r="D280">
            <v>23620</v>
          </cell>
        </row>
        <row r="281">
          <cell r="B281" t="str">
            <v>Metaldeck Galvanizado Cal 22 e=0.75mm</v>
          </cell>
          <cell r="C281" t="str">
            <v>m2</v>
          </cell>
          <cell r="D281">
            <v>58249.040809208243</v>
          </cell>
        </row>
        <row r="282">
          <cell r="B282" t="str">
            <v>Metaldeck Negro Cal 22 e=0.75mm</v>
          </cell>
          <cell r="C282" t="str">
            <v>m2</v>
          </cell>
          <cell r="D282">
            <v>61737.00732472969</v>
          </cell>
        </row>
        <row r="283">
          <cell r="B283" t="str">
            <v>Conector 5/8" x 3"</v>
          </cell>
          <cell r="C283" t="str">
            <v>un</v>
          </cell>
          <cell r="D283">
            <v>860</v>
          </cell>
        </row>
        <row r="284">
          <cell r="B284" t="str">
            <v>Tapa Metaldeck</v>
          </cell>
          <cell r="C284" t="str">
            <v>un</v>
          </cell>
          <cell r="D284">
            <v>1950</v>
          </cell>
        </row>
        <row r="285">
          <cell r="B285" t="str">
            <v>Lamina COLD ROLLED cal 14 - 1.90mm</v>
          </cell>
          <cell r="C285" t="str">
            <v>m2</v>
          </cell>
          <cell r="D285">
            <v>95750</v>
          </cell>
        </row>
        <row r="286">
          <cell r="B286" t="str">
            <v>Lamina COLD ROLLED cal 18 - 1.15mm</v>
          </cell>
          <cell r="C286" t="str">
            <v>m2</v>
          </cell>
          <cell r="D286">
            <v>68145</v>
          </cell>
        </row>
        <row r="287">
          <cell r="B287" t="str">
            <v xml:space="preserve">Lámina Alfajor 2.5 mm </v>
          </cell>
          <cell r="C287" t="str">
            <v>m2</v>
          </cell>
          <cell r="D287">
            <v>125580</v>
          </cell>
        </row>
        <row r="288">
          <cell r="B288" t="str">
            <v>Platina Acero 1/2"</v>
          </cell>
          <cell r="C288" t="str">
            <v>un</v>
          </cell>
          <cell r="D288">
            <v>31250</v>
          </cell>
        </row>
        <row r="289">
          <cell r="B289" t="str">
            <v>Platina Acero 3/4"</v>
          </cell>
          <cell r="C289" t="str">
            <v>un</v>
          </cell>
          <cell r="D289">
            <v>54416.666666666664</v>
          </cell>
        </row>
        <row r="291">
          <cell r="B291" t="str">
            <v>Cabinas de baño en acero inoxidable</v>
          </cell>
          <cell r="C291" t="str">
            <v>m2</v>
          </cell>
          <cell r="D291">
            <v>650000</v>
          </cell>
        </row>
        <row r="292">
          <cell r="B292" t="str">
            <v>Cortasol Celoscreen Paso 150</v>
          </cell>
          <cell r="C292" t="str">
            <v>m2</v>
          </cell>
          <cell r="D292">
            <v>379300</v>
          </cell>
        </row>
        <row r="293">
          <cell r="B293" t="str">
            <v>Panel Quadrobrise XLS Trapezoidal</v>
          </cell>
          <cell r="C293" t="str">
            <v>m2</v>
          </cell>
          <cell r="D293">
            <v>341450</v>
          </cell>
        </row>
        <row r="294">
          <cell r="B294" t="str">
            <v>Cortasol WPC 150X50</v>
          </cell>
          <cell r="C294" t="str">
            <v>m2</v>
          </cell>
          <cell r="D294">
            <v>263500</v>
          </cell>
        </row>
        <row r="295">
          <cell r="B295" t="str">
            <v>Señalización en lamina Metálica 30cmx20cm</v>
          </cell>
          <cell r="C295" t="str">
            <v>un</v>
          </cell>
          <cell r="D295">
            <v>97490</v>
          </cell>
        </row>
        <row r="297">
          <cell r="B297" t="str">
            <v>Tubo Redondo x 1 1/2"</v>
          </cell>
          <cell r="C297" t="str">
            <v>ml</v>
          </cell>
          <cell r="D297">
            <v>78220</v>
          </cell>
        </row>
        <row r="298">
          <cell r="B298" t="str">
            <v>Tubo Redondo Acero 1/2"</v>
          </cell>
          <cell r="C298" t="str">
            <v>ml</v>
          </cell>
          <cell r="D298">
            <v>11366.666666666666</v>
          </cell>
        </row>
        <row r="299">
          <cell r="B299" t="str">
            <v>Tubo Aluminio 4" x 1.3/4"</v>
          </cell>
          <cell r="C299" t="str">
            <v>un</v>
          </cell>
          <cell r="D299">
            <v>312800</v>
          </cell>
        </row>
        <row r="300">
          <cell r="B300" t="str">
            <v>Tubo Aluminio 3 x 1/2</v>
          </cell>
          <cell r="C300" t="str">
            <v>m2</v>
          </cell>
          <cell r="D300">
            <v>67560</v>
          </cell>
        </row>
        <row r="303">
          <cell r="B303" t="str">
            <v>Tubo Cerramiento Galvanizado 1/2" x 1.5mm x 6m</v>
          </cell>
          <cell r="C303" t="str">
            <v>un</v>
          </cell>
          <cell r="D303">
            <v>32900</v>
          </cell>
        </row>
        <row r="304">
          <cell r="B304" t="str">
            <v>Tubo Cerramiento Galvanizado 3/4" x 1.5mm x 6m</v>
          </cell>
          <cell r="C304" t="str">
            <v>un</v>
          </cell>
          <cell r="D304">
            <v>51900</v>
          </cell>
        </row>
        <row r="305">
          <cell r="B305" t="str">
            <v>Tubo Cerramiento Galvanizado 1" x 1.5mm x 6m</v>
          </cell>
          <cell r="C305" t="str">
            <v>un</v>
          </cell>
          <cell r="D305">
            <v>48900</v>
          </cell>
        </row>
        <row r="306">
          <cell r="B306" t="str">
            <v>Tubo Cerramiento Galvanizado 1 1/2" x 1.5mm x 6m</v>
          </cell>
          <cell r="C306" t="str">
            <v>un</v>
          </cell>
          <cell r="D306">
            <v>89900</v>
          </cell>
        </row>
        <row r="307">
          <cell r="B307" t="str">
            <v>Tubo cerramiento galvanizado 1 1/4" x 1.5mm x 6m</v>
          </cell>
          <cell r="C307" t="str">
            <v>un</v>
          </cell>
          <cell r="D307">
            <v>92450</v>
          </cell>
        </row>
        <row r="308">
          <cell r="B308" t="str">
            <v>Tubo Cerramiento Galvanizado 2" x 1.5mm x 6m</v>
          </cell>
          <cell r="C308" t="str">
            <v>un</v>
          </cell>
          <cell r="D308">
            <v>115900</v>
          </cell>
        </row>
        <row r="309">
          <cell r="B309" t="str">
            <v>Tubo Cerramiento Galvanizado 3/4" x 1.9mm x 6m</v>
          </cell>
          <cell r="C309" t="str">
            <v>un</v>
          </cell>
          <cell r="D309">
            <v>76950</v>
          </cell>
        </row>
        <row r="310">
          <cell r="B310" t="str">
            <v>Tubo Cerramiento Galvanizado 2pg x 1.91mm x 6m</v>
          </cell>
          <cell r="C310" t="str">
            <v>un</v>
          </cell>
          <cell r="D310">
            <v>142900</v>
          </cell>
        </row>
        <row r="311">
          <cell r="B311" t="str">
            <v>Tubo Cerramiento Galvanizado 1 1/2" x 2mm x 6m</v>
          </cell>
          <cell r="C311" t="str">
            <v>un</v>
          </cell>
          <cell r="D311">
            <v>141900</v>
          </cell>
        </row>
        <row r="313">
          <cell r="B313" t="str">
            <v>Tubo Cuadrado 1" x 1" x 1.2mm C18 6m</v>
          </cell>
          <cell r="C313" t="str">
            <v>un</v>
          </cell>
          <cell r="D313">
            <v>35200</v>
          </cell>
        </row>
        <row r="314">
          <cell r="B314" t="str">
            <v>Tubo Cuadrado 1 1/2" x 1 1/2" x 1.1mm C18 6m</v>
          </cell>
          <cell r="C314" t="str">
            <v>un</v>
          </cell>
          <cell r="D314">
            <v>46900</v>
          </cell>
        </row>
        <row r="315">
          <cell r="B315" t="str">
            <v>Tubo Rectangular 40 x 20 x 1.1mm C18 x 6m</v>
          </cell>
          <cell r="C315" t="str">
            <v>un</v>
          </cell>
          <cell r="D315">
            <v>33800</v>
          </cell>
        </row>
        <row r="316">
          <cell r="B316" t="str">
            <v>Tubo rectangular 76 x 38 x 1.5mm x 6m</v>
          </cell>
          <cell r="C316" t="str">
            <v>un</v>
          </cell>
          <cell r="D316">
            <v>110900</v>
          </cell>
        </row>
        <row r="317">
          <cell r="B317" t="str">
            <v>Tubo rectangular 100 x 40 x 1.5mm x 6m</v>
          </cell>
          <cell r="C317" t="str">
            <v>un</v>
          </cell>
          <cell r="D317">
            <v>140750</v>
          </cell>
        </row>
        <row r="318">
          <cell r="B318" t="str">
            <v>Tubo rectangular 76 x 38 x 0.8mm x 6m</v>
          </cell>
          <cell r="C318" t="str">
            <v>un</v>
          </cell>
          <cell r="D318">
            <v>45900</v>
          </cell>
        </row>
        <row r="319">
          <cell r="B319" t="str">
            <v>Tubo rectangular 76 x 38 x 1.1mm x 6m</v>
          </cell>
          <cell r="D319">
            <v>56900</v>
          </cell>
        </row>
        <row r="320">
          <cell r="B320" t="str">
            <v>Tubo rectangular 50 x 25 x 0.8mm x 6m</v>
          </cell>
          <cell r="C320" t="str">
            <v>un</v>
          </cell>
          <cell r="D320">
            <v>45000</v>
          </cell>
        </row>
        <row r="321">
          <cell r="B321" t="str">
            <v>Tubo Rectangular 50 x 25 x 1.1mm C18 x 6m</v>
          </cell>
          <cell r="C321" t="str">
            <v>un</v>
          </cell>
          <cell r="D321">
            <v>43900</v>
          </cell>
        </row>
        <row r="322">
          <cell r="B322" t="str">
            <v>Tubo rectangular 80 x 40 x 2.0mm x 6m</v>
          </cell>
          <cell r="C322" t="str">
            <v>un</v>
          </cell>
          <cell r="D322">
            <v>145900</v>
          </cell>
        </row>
        <row r="323">
          <cell r="B323" t="str">
            <v>Tubo rectangular 80 x 40 x 2.5mm x 6m</v>
          </cell>
          <cell r="C323" t="str">
            <v>un</v>
          </cell>
          <cell r="D323">
            <v>164600</v>
          </cell>
        </row>
        <row r="324">
          <cell r="B324" t="str">
            <v>Tubo rectangular 90 x 50 x 2.0mm x 6m</v>
          </cell>
          <cell r="C324" t="str">
            <v>un</v>
          </cell>
          <cell r="D324">
            <v>216900</v>
          </cell>
        </row>
        <row r="325">
          <cell r="B325" t="str">
            <v>Tubo rectangular 90 x 50 x 2.5mm x 6m</v>
          </cell>
          <cell r="C325" t="str">
            <v>un</v>
          </cell>
          <cell r="D325">
            <v>283900</v>
          </cell>
        </row>
        <row r="326">
          <cell r="B326" t="str">
            <v>Tubo rectangular 100 x 100 x 3.0mm x 6m</v>
          </cell>
          <cell r="C326" t="str">
            <v>un</v>
          </cell>
          <cell r="D326">
            <v>537094.6</v>
          </cell>
        </row>
        <row r="327">
          <cell r="B327" t="str">
            <v>Tubo rectangular 200 x 100 x 4.0mm x 6m</v>
          </cell>
          <cell r="C327" t="str">
            <v>un</v>
          </cell>
          <cell r="D327">
            <v>891560</v>
          </cell>
        </row>
        <row r="328">
          <cell r="B328" t="str">
            <v>Tubo rectangular 150 x 150 x 4.0mm x 6m</v>
          </cell>
          <cell r="C328" t="str">
            <v>un</v>
          </cell>
          <cell r="D328">
            <v>820595.73749999993</v>
          </cell>
        </row>
        <row r="329">
          <cell r="B329" t="str">
            <v>Tubo rectangular 120 x 60 x 2.0mm x 6m</v>
          </cell>
          <cell r="C329" t="str">
            <v>un</v>
          </cell>
          <cell r="D329">
            <v>327240.48</v>
          </cell>
        </row>
        <row r="330">
          <cell r="B330" t="str">
            <v>Tubo rectangular 120 x 120 x 4.0mm x 6m</v>
          </cell>
          <cell r="C330" t="str">
            <v>un</v>
          </cell>
          <cell r="D330">
            <v>850840.48</v>
          </cell>
        </row>
        <row r="331">
          <cell r="B331" t="str">
            <v>Tubo rectangular 220 x 220 x 7.0mm x 6m</v>
          </cell>
          <cell r="C331" t="str">
            <v>un</v>
          </cell>
          <cell r="D331">
            <v>2706290.86</v>
          </cell>
        </row>
        <row r="332">
          <cell r="B332" t="str">
            <v>Tubo rectangular 300 x 300 x 10.0mm x 6m</v>
          </cell>
          <cell r="C332" t="str">
            <v>un</v>
          </cell>
          <cell r="D332">
            <v>5221787.83</v>
          </cell>
        </row>
        <row r="335">
          <cell r="B335" t="str">
            <v>Angulo 25 x 2.5mm</v>
          </cell>
          <cell r="C335" t="str">
            <v>ml</v>
          </cell>
          <cell r="D335">
            <v>6153.333333333333</v>
          </cell>
        </row>
        <row r="336">
          <cell r="B336" t="str">
            <v>Angulo 1" x 1/8"</v>
          </cell>
          <cell r="C336" t="str">
            <v>ml</v>
          </cell>
          <cell r="D336">
            <v>7200</v>
          </cell>
        </row>
        <row r="337">
          <cell r="B337" t="str">
            <v>Angulo 1 1/2" x 1/8"</v>
          </cell>
          <cell r="C337" t="str">
            <v>ml</v>
          </cell>
          <cell r="D337">
            <v>8533.3333333333339</v>
          </cell>
        </row>
        <row r="338">
          <cell r="B338" t="str">
            <v>Malla 2.0x10mt Metal Huecos 2-1/4 x 2-1/4 2.77mm Eslabonada</v>
          </cell>
          <cell r="C338" t="str">
            <v>m2</v>
          </cell>
          <cell r="D338">
            <v>17300</v>
          </cell>
        </row>
        <row r="339">
          <cell r="B339" t="str">
            <v>Malla 1.8x10mt Metal Huecos 2-1/4 x 2-1/4 2.50mm Eslabonada</v>
          </cell>
          <cell r="C339" t="str">
            <v>m2</v>
          </cell>
          <cell r="D339">
            <v>21061</v>
          </cell>
        </row>
        <row r="340">
          <cell r="B340" t="str">
            <v>Malla 1.5x10mt Metal Huecos 2-1/4 x 2-1/4 2.50mm Eslabonada</v>
          </cell>
          <cell r="C340" t="str">
            <v>m2</v>
          </cell>
          <cell r="D340">
            <v>22280</v>
          </cell>
        </row>
        <row r="341">
          <cell r="B341" t="str">
            <v>Alambre Galvanizado C14</v>
          </cell>
          <cell r="C341" t="str">
            <v>kg</v>
          </cell>
          <cell r="D341">
            <v>11900</v>
          </cell>
        </row>
        <row r="342">
          <cell r="B342" t="str">
            <v>Alambre Galvanizado C12</v>
          </cell>
          <cell r="C342" t="str">
            <v>kg</v>
          </cell>
          <cell r="D342">
            <v>12800</v>
          </cell>
        </row>
        <row r="344">
          <cell r="B344" t="str">
            <v>Acero Estructural (IPE, HEA, PHR-C, PTE…)</v>
          </cell>
          <cell r="C344" t="str">
            <v>kg</v>
          </cell>
          <cell r="D344">
            <v>7650</v>
          </cell>
        </row>
        <row r="345">
          <cell r="B345" t="str">
            <v>Viga IPE 400mm X 6m</v>
          </cell>
          <cell r="C345" t="str">
            <v>un</v>
          </cell>
          <cell r="D345">
            <v>5510500</v>
          </cell>
        </row>
        <row r="346">
          <cell r="B346" t="str">
            <v>Viga IPE 330mm X 6m</v>
          </cell>
          <cell r="C346" t="str">
            <v>un</v>
          </cell>
          <cell r="D346">
            <v>2210900</v>
          </cell>
        </row>
        <row r="347">
          <cell r="B347" t="str">
            <v>Viga IPE 300mm X 6m</v>
          </cell>
          <cell r="C347" t="str">
            <v>un</v>
          </cell>
          <cell r="D347">
            <v>1850450</v>
          </cell>
        </row>
        <row r="348">
          <cell r="B348" t="str">
            <v>Viga IPE 240mm X 6m</v>
          </cell>
          <cell r="C348" t="str">
            <v>un</v>
          </cell>
          <cell r="D348">
            <v>1345650</v>
          </cell>
        </row>
        <row r="349">
          <cell r="B349" t="str">
            <v>Viga IPE 180mm X 6m</v>
          </cell>
          <cell r="C349" t="str">
            <v>un</v>
          </cell>
          <cell r="D349">
            <v>754900</v>
          </cell>
        </row>
        <row r="350">
          <cell r="B350" t="str">
            <v>Viga IPE 160mm x 6m</v>
          </cell>
          <cell r="C350" t="str">
            <v>un</v>
          </cell>
          <cell r="D350">
            <v>608400</v>
          </cell>
        </row>
        <row r="351">
          <cell r="B351" t="str">
            <v>Viga IPE 140mm X 6m</v>
          </cell>
          <cell r="C351" t="str">
            <v>un</v>
          </cell>
          <cell r="D351">
            <v>489900</v>
          </cell>
        </row>
        <row r="352">
          <cell r="B352" t="str">
            <v>Viga IPE 120mm X 6m</v>
          </cell>
          <cell r="C352" t="str">
            <v>un</v>
          </cell>
          <cell r="D352">
            <v>399900</v>
          </cell>
        </row>
        <row r="353">
          <cell r="B353" t="str">
            <v>Viga IPE 100mm x 6m</v>
          </cell>
          <cell r="C353" t="str">
            <v>un</v>
          </cell>
          <cell r="D353">
            <v>272000</v>
          </cell>
        </row>
        <row r="354">
          <cell r="B354" t="str">
            <v>Viga IPE 80mm X 6m</v>
          </cell>
          <cell r="C354" t="str">
            <v>un</v>
          </cell>
          <cell r="D354">
            <v>239900</v>
          </cell>
        </row>
        <row r="357">
          <cell r="B357" t="str">
            <v>Valla en Tela vinílica con malla de poliester ( banner)</v>
          </cell>
          <cell r="C357" t="str">
            <v>m2</v>
          </cell>
          <cell r="D357">
            <v>45000</v>
          </cell>
        </row>
        <row r="360">
          <cell r="B360" t="str">
            <v>Señalizador tubular de 1m (2 lineas de cinta)</v>
          </cell>
          <cell r="C360" t="str">
            <v>un</v>
          </cell>
          <cell r="D360">
            <v>35000</v>
          </cell>
        </row>
        <row r="363">
          <cell r="B363" t="str">
            <v>Soldadura para hierro estructural</v>
          </cell>
          <cell r="C363" t="str">
            <v>kg</v>
          </cell>
          <cell r="D363">
            <v>18500</v>
          </cell>
        </row>
        <row r="364">
          <cell r="B364" t="str">
            <v>Perfil Metálico</v>
          </cell>
          <cell r="C364" t="str">
            <v>ml</v>
          </cell>
          <cell r="D364">
            <v>35000</v>
          </cell>
        </row>
        <row r="365">
          <cell r="B365" t="str">
            <v>Malla Insectos Huecos 9x10mm</v>
          </cell>
          <cell r="C365" t="str">
            <v>m2</v>
          </cell>
          <cell r="D365">
            <v>14800</v>
          </cell>
        </row>
        <row r="366">
          <cell r="B366" t="str">
            <v>Malla mosquito 14 x 14 mm, 0,90 x 5 metros</v>
          </cell>
          <cell r="C366" t="str">
            <v>m2</v>
          </cell>
          <cell r="D366">
            <v>23178</v>
          </cell>
        </row>
        <row r="368">
          <cell r="B368" t="str">
            <v>Gasolina</v>
          </cell>
          <cell r="C368" t="str">
            <v>gl</v>
          </cell>
          <cell r="D368">
            <v>16410</v>
          </cell>
        </row>
        <row r="369">
          <cell r="B369" t="str">
            <v>ACPM</v>
          </cell>
          <cell r="C369" t="str">
            <v>gl</v>
          </cell>
          <cell r="D369">
            <v>10450</v>
          </cell>
        </row>
        <row r="370">
          <cell r="B370" t="str">
            <v>Caseton en eterilla h=0.30 , a=0.65m</v>
          </cell>
          <cell r="C370" t="str">
            <v>m</v>
          </cell>
          <cell r="D370">
            <v>16500</v>
          </cell>
        </row>
        <row r="371">
          <cell r="B371" t="str">
            <v>Malla con vena C24</v>
          </cell>
          <cell r="C371" t="str">
            <v>m2</v>
          </cell>
          <cell r="D371">
            <v>4350</v>
          </cell>
        </row>
        <row r="372">
          <cell r="B372" t="str">
            <v>Caseton en eterilla h=0.40 , a=0.65m</v>
          </cell>
          <cell r="C372" t="str">
            <v>m</v>
          </cell>
          <cell r="D372">
            <v>20000</v>
          </cell>
        </row>
        <row r="373">
          <cell r="B373" t="str">
            <v>Caseton en eterilla h=0.45 , a=0.65m</v>
          </cell>
          <cell r="C373" t="str">
            <v>m</v>
          </cell>
          <cell r="D373">
            <v>23100</v>
          </cell>
        </row>
        <row r="375">
          <cell r="B375" t="str">
            <v>Tubo EMT 1/2"</v>
          </cell>
          <cell r="C375" t="str">
            <v>ml</v>
          </cell>
          <cell r="D375">
            <v>7560</v>
          </cell>
        </row>
        <row r="376">
          <cell r="B376" t="str">
            <v>Curva EMT 1/2"</v>
          </cell>
          <cell r="C376" t="str">
            <v>un</v>
          </cell>
          <cell r="D376">
            <v>7120</v>
          </cell>
        </row>
        <row r="377">
          <cell r="B377" t="str">
            <v>Union EMT 1/2" acero</v>
          </cell>
          <cell r="C377" t="str">
            <v>un</v>
          </cell>
          <cell r="D377">
            <v>2120</v>
          </cell>
        </row>
        <row r="378">
          <cell r="B378" t="str">
            <v>Conector EMT 1/2"</v>
          </cell>
          <cell r="C378" t="str">
            <v>un</v>
          </cell>
          <cell r="D378">
            <v>2120</v>
          </cell>
        </row>
        <row r="379">
          <cell r="B379" t="str">
            <v>Grapa 1 Doble Oreja x 10Und Galvanizada</v>
          </cell>
          <cell r="C379" t="str">
            <v>un</v>
          </cell>
          <cell r="D379">
            <v>900</v>
          </cell>
        </row>
        <row r="380">
          <cell r="B380" t="str">
            <v>Tubo Conduit PVC 1/2"</v>
          </cell>
          <cell r="C380" t="str">
            <v>m</v>
          </cell>
          <cell r="D380">
            <v>1630</v>
          </cell>
        </row>
        <row r="381">
          <cell r="B381" t="str">
            <v>Curva Conduit PVC 1/2"</v>
          </cell>
          <cell r="C381" t="str">
            <v>un</v>
          </cell>
          <cell r="D381">
            <v>750</v>
          </cell>
        </row>
        <row r="382">
          <cell r="B382" t="str">
            <v>Adaptador Terminal PVC 1/2"</v>
          </cell>
          <cell r="C382" t="str">
            <v>un</v>
          </cell>
          <cell r="D382">
            <v>450</v>
          </cell>
        </row>
        <row r="383">
          <cell r="B383" t="str">
            <v>Limpiador PVC</v>
          </cell>
          <cell r="C383" t="str">
            <v>gl</v>
          </cell>
          <cell r="D383">
            <v>37950</v>
          </cell>
        </row>
        <row r="384">
          <cell r="B384" t="str">
            <v>Soldadura PVC</v>
          </cell>
          <cell r="C384" t="str">
            <v>gl</v>
          </cell>
          <cell r="D384">
            <v>62120</v>
          </cell>
        </row>
        <row r="385">
          <cell r="B385" t="str">
            <v>Caja Rectangular Rawelt 2x4</v>
          </cell>
          <cell r="C385" t="str">
            <v>un</v>
          </cell>
          <cell r="D385">
            <v>12110</v>
          </cell>
        </row>
        <row r="386">
          <cell r="B386" t="str">
            <v>Caja Rectangular Rawelt 4x4</v>
          </cell>
          <cell r="C386" t="str">
            <v>un</v>
          </cell>
          <cell r="D386">
            <v>30220</v>
          </cell>
        </row>
        <row r="387">
          <cell r="B387" t="str">
            <v>Caja 2x4 Metalica galvanizada</v>
          </cell>
          <cell r="C387" t="str">
            <v>un</v>
          </cell>
          <cell r="D387">
            <v>3620</v>
          </cell>
        </row>
        <row r="388">
          <cell r="B388" t="str">
            <v>Cable Cu aislado #12 AWG THHN/THWN</v>
          </cell>
          <cell r="C388" t="str">
            <v>m</v>
          </cell>
          <cell r="D388">
            <v>2140</v>
          </cell>
        </row>
        <row r="389">
          <cell r="B389" t="str">
            <v>Conector para cable</v>
          </cell>
          <cell r="C389" t="str">
            <v>un</v>
          </cell>
          <cell r="D389">
            <v>1220</v>
          </cell>
        </row>
        <row r="390">
          <cell r="B390" t="str">
            <v>Cinta Aislante</v>
          </cell>
          <cell r="C390" t="str">
            <v>un</v>
          </cell>
          <cell r="D390">
            <v>17550</v>
          </cell>
        </row>
        <row r="391">
          <cell r="B391" t="str">
            <v>Tubo Conduit PVC 1"</v>
          </cell>
          <cell r="C391" t="str">
            <v>m</v>
          </cell>
          <cell r="D391">
            <v>2445</v>
          </cell>
        </row>
        <row r="392">
          <cell r="B392" t="str">
            <v>Curva Conduit PVC 1"</v>
          </cell>
          <cell r="C392" t="str">
            <v>un</v>
          </cell>
          <cell r="D392">
            <v>1125</v>
          </cell>
        </row>
        <row r="393">
          <cell r="B393" t="str">
            <v>Adaptador Terminal PVC 1"</v>
          </cell>
          <cell r="C393" t="str">
            <v>un</v>
          </cell>
          <cell r="D393">
            <v>675</v>
          </cell>
        </row>
        <row r="394">
          <cell r="B394" t="str">
            <v>Cable Cu aislado #10 -#8 AWG THHN/THWN</v>
          </cell>
          <cell r="C394" t="str">
            <v>m</v>
          </cell>
          <cell r="D394">
            <v>4256</v>
          </cell>
        </row>
        <row r="395">
          <cell r="B395" t="str">
            <v xml:space="preserve">Cable Eléctrico Encauchetado 3x12 Awg </v>
          </cell>
          <cell r="C395" t="str">
            <v>m</v>
          </cell>
          <cell r="D395">
            <v>9240</v>
          </cell>
        </row>
        <row r="396">
          <cell r="B396" t="str">
            <v>Tablero monofásico 6 circuitos con barraje de 75 A</v>
          </cell>
          <cell r="C396" t="str">
            <v>un</v>
          </cell>
          <cell r="D396">
            <v>178760</v>
          </cell>
        </row>
        <row r="397">
          <cell r="B397" t="str">
            <v>Interruptor enchufable 1x20 A 10 KA</v>
          </cell>
          <cell r="C397" t="str">
            <v>un</v>
          </cell>
          <cell r="D397">
            <v>19600</v>
          </cell>
        </row>
        <row r="398">
          <cell r="B398" t="str">
            <v>Adhesivo impreso</v>
          </cell>
          <cell r="C398" t="str">
            <v>un</v>
          </cell>
          <cell r="D398">
            <v>10000</v>
          </cell>
        </row>
        <row r="399">
          <cell r="B399" t="str">
            <v>Taco Individual</v>
          </cell>
          <cell r="C399" t="str">
            <v>un</v>
          </cell>
          <cell r="D399">
            <v>14150</v>
          </cell>
        </row>
        <row r="400">
          <cell r="B400" t="str">
            <v>Toma Trifilar 240v</v>
          </cell>
          <cell r="C400" t="str">
            <v>un</v>
          </cell>
          <cell r="D400">
            <v>19500</v>
          </cell>
        </row>
        <row r="401">
          <cell r="B401" t="str">
            <v>Toma corriente normal 2P + T</v>
          </cell>
          <cell r="C401" t="str">
            <v>un</v>
          </cell>
          <cell r="D401">
            <v>15400</v>
          </cell>
        </row>
        <row r="402">
          <cell r="B402" t="str">
            <v>Toma corriente GFCI</v>
          </cell>
          <cell r="C402" t="str">
            <v>un</v>
          </cell>
          <cell r="D402">
            <v>75000</v>
          </cell>
        </row>
        <row r="403">
          <cell r="B403" t="str">
            <v>Roseta plástica (Plafon)</v>
          </cell>
          <cell r="C403" t="str">
            <v>un</v>
          </cell>
          <cell r="D403">
            <v>12330</v>
          </cell>
        </row>
        <row r="404">
          <cell r="B404" t="str">
            <v>Interruptor Simple</v>
          </cell>
          <cell r="C404" t="str">
            <v>un</v>
          </cell>
          <cell r="D404">
            <v>15840</v>
          </cell>
        </row>
        <row r="405">
          <cell r="B405" t="str">
            <v xml:space="preserve">Interruptor Conmutable </v>
          </cell>
          <cell r="C405" t="str">
            <v>un</v>
          </cell>
          <cell r="D405">
            <v>61900</v>
          </cell>
        </row>
        <row r="406">
          <cell r="B406" t="str">
            <v>Panel Led Redondo 9W Luz Blanca</v>
          </cell>
          <cell r="C406" t="str">
            <v>un</v>
          </cell>
          <cell r="D406">
            <v>22210</v>
          </cell>
        </row>
        <row r="407">
          <cell r="B407" t="str">
            <v>Panel Led Empotrar 18W Luz Fría</v>
          </cell>
          <cell r="C407" t="str">
            <v>un</v>
          </cell>
          <cell r="D407">
            <v>26900</v>
          </cell>
        </row>
        <row r="408">
          <cell r="B408" t="str">
            <v>Lámpara Colgante 1 Luz</v>
          </cell>
          <cell r="C408" t="str">
            <v>un</v>
          </cell>
          <cell r="D408">
            <v>130760</v>
          </cell>
        </row>
        <row r="409">
          <cell r="B409" t="str">
            <v>Bombillo led</v>
          </cell>
          <cell r="C409" t="str">
            <v>un</v>
          </cell>
          <cell r="D409">
            <v>9160</v>
          </cell>
        </row>
        <row r="410">
          <cell r="B410" t="str">
            <v>Reflector Led 200w Intemperie</v>
          </cell>
          <cell r="C410" t="str">
            <v>un</v>
          </cell>
          <cell r="D410">
            <v>185620</v>
          </cell>
        </row>
        <row r="411">
          <cell r="B411" t="str">
            <v>Reflector Led 50W Ip65</v>
          </cell>
          <cell r="C411" t="str">
            <v>un</v>
          </cell>
          <cell r="D411">
            <v>40200</v>
          </cell>
        </row>
        <row r="413">
          <cell r="B413" t="str">
            <v>Accesorio PVC presion</v>
          </cell>
          <cell r="C413" t="str">
            <v>un</v>
          </cell>
          <cell r="D413">
            <v>17620</v>
          </cell>
        </row>
        <row r="414">
          <cell r="B414" t="str">
            <v>Tuberia PVC presion 1/2"</v>
          </cell>
          <cell r="C414" t="str">
            <v>ml</v>
          </cell>
          <cell r="D414">
            <v>4830</v>
          </cell>
        </row>
        <row r="415">
          <cell r="B415" t="str">
            <v>Niple de HG de 1/2" 15cm</v>
          </cell>
          <cell r="C415" t="str">
            <v>un</v>
          </cell>
          <cell r="D415">
            <v>2700</v>
          </cell>
        </row>
        <row r="417">
          <cell r="B417" t="str">
            <v>Tuberia PVC presion 3/4"</v>
          </cell>
          <cell r="C417" t="str">
            <v>ml</v>
          </cell>
          <cell r="D417">
            <v>5960</v>
          </cell>
        </row>
        <row r="418">
          <cell r="B418" t="str">
            <v>Niple de HG de 3/4" 15cm</v>
          </cell>
          <cell r="C418" t="str">
            <v>un</v>
          </cell>
          <cell r="D418">
            <v>4500</v>
          </cell>
        </row>
        <row r="420">
          <cell r="B420" t="str">
            <v>Tuberia PVC presion 1"</v>
          </cell>
          <cell r="C420" t="str">
            <v>ml</v>
          </cell>
          <cell r="D420">
            <v>6870</v>
          </cell>
        </row>
        <row r="421">
          <cell r="B421" t="str">
            <v>Niple de HG de 1" 15cm</v>
          </cell>
          <cell r="C421" t="str">
            <v>un</v>
          </cell>
          <cell r="D421">
            <v>5200</v>
          </cell>
        </row>
        <row r="423">
          <cell r="B423" t="str">
            <v>Tuberia PVC presion 1 1/4"</v>
          </cell>
          <cell r="C423" t="str">
            <v>ml</v>
          </cell>
          <cell r="D423">
            <v>7900</v>
          </cell>
        </row>
        <row r="424">
          <cell r="B424" t="str">
            <v>Niple de HG de 1 1/4" 15cm</v>
          </cell>
          <cell r="C424" t="str">
            <v>un</v>
          </cell>
          <cell r="D424">
            <v>8400</v>
          </cell>
        </row>
        <row r="426">
          <cell r="B426" t="str">
            <v>Tuberia PVC presion 1 1/2"</v>
          </cell>
          <cell r="C426" t="str">
            <v>ml</v>
          </cell>
          <cell r="D426">
            <v>9800</v>
          </cell>
        </row>
        <row r="427">
          <cell r="B427" t="str">
            <v>Niple de HG de 1 1/2" 15cm</v>
          </cell>
          <cell r="C427" t="str">
            <v>un</v>
          </cell>
          <cell r="D427">
            <v>10400</v>
          </cell>
        </row>
        <row r="429">
          <cell r="B429" t="str">
            <v>Registro de corte de 1/2"</v>
          </cell>
          <cell r="C429" t="str">
            <v>un</v>
          </cell>
          <cell r="D429">
            <v>48570</v>
          </cell>
        </row>
        <row r="430">
          <cell r="B430" t="str">
            <v>Cheque de 1/2" Presion</v>
          </cell>
          <cell r="C430" t="str">
            <v>un</v>
          </cell>
          <cell r="D430">
            <v>75840</v>
          </cell>
        </row>
        <row r="432">
          <cell r="B432" t="str">
            <v>Cinta de Teflon 10m</v>
          </cell>
          <cell r="C432" t="str">
            <v>un</v>
          </cell>
          <cell r="D432">
            <v>3700</v>
          </cell>
        </row>
        <row r="433">
          <cell r="B433" t="str">
            <v>Adaptador PVC macho de 1/2" presion</v>
          </cell>
          <cell r="C433" t="str">
            <v>un</v>
          </cell>
          <cell r="D433">
            <v>750</v>
          </cell>
        </row>
        <row r="434">
          <cell r="B434" t="str">
            <v>Adaptador PVC hembra de 1/2" presion</v>
          </cell>
          <cell r="C434" t="str">
            <v>un</v>
          </cell>
          <cell r="D434">
            <v>750</v>
          </cell>
        </row>
        <row r="435">
          <cell r="B435" t="str">
            <v>Llave de paso 1/2"</v>
          </cell>
          <cell r="C435" t="str">
            <v>un</v>
          </cell>
          <cell r="D435">
            <v>67460</v>
          </cell>
        </row>
        <row r="437">
          <cell r="B437" t="str">
            <v>Tuberia PVC de 3"</v>
          </cell>
          <cell r="C437" t="str">
            <v>ml</v>
          </cell>
          <cell r="D437">
            <v>10130</v>
          </cell>
        </row>
        <row r="438">
          <cell r="B438" t="str">
            <v>Accesorio PVC 3"</v>
          </cell>
          <cell r="C438" t="str">
            <v>un</v>
          </cell>
          <cell r="D438">
            <v>9870</v>
          </cell>
        </row>
        <row r="439">
          <cell r="B439" t="str">
            <v>Soporte bajante PVC agua lluvia</v>
          </cell>
          <cell r="C439" t="str">
            <v>un</v>
          </cell>
          <cell r="D439">
            <v>5330</v>
          </cell>
        </row>
        <row r="440">
          <cell r="B440" t="str">
            <v>Tuberia PVC ventilacion de 2"</v>
          </cell>
          <cell r="C440" t="str">
            <v>ml</v>
          </cell>
          <cell r="D440">
            <v>7450</v>
          </cell>
        </row>
        <row r="442">
          <cell r="B442" t="str">
            <v>Tapon de cobre</v>
          </cell>
          <cell r="C442" t="str">
            <v>un</v>
          </cell>
          <cell r="D442">
            <v>2130</v>
          </cell>
        </row>
        <row r="443">
          <cell r="B443" t="str">
            <v>Adaptador macho cobre</v>
          </cell>
          <cell r="C443" t="str">
            <v>un</v>
          </cell>
          <cell r="D443">
            <v>2850</v>
          </cell>
        </row>
        <row r="444">
          <cell r="B444" t="str">
            <v>Tuberia de cobre</v>
          </cell>
          <cell r="C444" t="str">
            <v>ml</v>
          </cell>
          <cell r="D444">
            <v>47210</v>
          </cell>
        </row>
        <row r="446">
          <cell r="B446" t="str">
            <v>Accesorio PVC 2" sanitaria</v>
          </cell>
          <cell r="C446" t="str">
            <v>un</v>
          </cell>
          <cell r="D446">
            <v>9860</v>
          </cell>
        </row>
        <row r="447">
          <cell r="B447" t="str">
            <v>Tuberia PVC Sanitaria 2"</v>
          </cell>
          <cell r="C447" t="str">
            <v>ml</v>
          </cell>
          <cell r="D447">
            <v>11460</v>
          </cell>
        </row>
        <row r="448">
          <cell r="B448" t="str">
            <v>Accesorio PVC 4" sanitaria</v>
          </cell>
          <cell r="C448" t="str">
            <v>un</v>
          </cell>
          <cell r="D448">
            <v>14970</v>
          </cell>
        </row>
        <row r="449">
          <cell r="B449" t="str">
            <v>Tuberia PVC Sanitaria 4"</v>
          </cell>
          <cell r="C449" t="str">
            <v>ml</v>
          </cell>
          <cell r="D449">
            <v>14120</v>
          </cell>
        </row>
        <row r="451">
          <cell r="B451" t="str">
            <v>Valvula de bola 1/2"</v>
          </cell>
          <cell r="C451" t="str">
            <v>un</v>
          </cell>
          <cell r="D451">
            <v>67850</v>
          </cell>
        </row>
        <row r="452">
          <cell r="B452" t="str">
            <v>Valvula de Cheque 1/2"</v>
          </cell>
          <cell r="C452" t="str">
            <v>un</v>
          </cell>
          <cell r="D452">
            <v>49660</v>
          </cell>
        </row>
        <row r="454">
          <cell r="B454" t="str">
            <v>Taza Báltica plus entrada posterior con fluxómetro de sensor</v>
          </cell>
          <cell r="C454" t="str">
            <v>un</v>
          </cell>
          <cell r="D454">
            <v>3708000</v>
          </cell>
        </row>
        <row r="455">
          <cell r="B455" t="str">
            <v>Taza Adriática Plus entrada posterior con fluxómetro Tru Flush sensor</v>
          </cell>
          <cell r="C455" t="str">
            <v>un</v>
          </cell>
          <cell r="D455">
            <v>3763800</v>
          </cell>
        </row>
        <row r="456">
          <cell r="B456" t="str">
            <v>Taza Báltica plus entrada superior con válvula push de empotrar</v>
          </cell>
          <cell r="C456" t="str">
            <v>un</v>
          </cell>
          <cell r="D456">
            <v>1399800</v>
          </cell>
        </row>
        <row r="457">
          <cell r="B457" t="str">
            <v>Taza Báltica plus entrada posterior con válvula push de empotrar</v>
          </cell>
          <cell r="C457" t="str">
            <v>un</v>
          </cell>
          <cell r="D457">
            <v>1355100</v>
          </cell>
        </row>
        <row r="459">
          <cell r="B459" t="str">
            <v>Kit orinal Gotta entrada posterior con válvula Dúplex</v>
          </cell>
          <cell r="C459" t="str">
            <v>un</v>
          </cell>
          <cell r="D459">
            <v>2166800</v>
          </cell>
        </row>
        <row r="460">
          <cell r="B460" t="str">
            <v>Fluxometro para Sanitario Infantil</v>
          </cell>
          <cell r="C460" t="str">
            <v>un</v>
          </cell>
          <cell r="D460">
            <v>1189900</v>
          </cell>
        </row>
        <row r="461">
          <cell r="B461" t="str">
            <v>Fluxometro para Orinal Infantil</v>
          </cell>
          <cell r="C461" t="str">
            <v>un</v>
          </cell>
          <cell r="D461">
            <v>1189900</v>
          </cell>
        </row>
        <row r="463">
          <cell r="B463" t="str">
            <v>Sanitario Infantil</v>
          </cell>
          <cell r="C463" t="str">
            <v>un</v>
          </cell>
          <cell r="D463">
            <v>569800</v>
          </cell>
        </row>
        <row r="464">
          <cell r="B464" t="str">
            <v>Sanitario Adulto Taza Alongada</v>
          </cell>
          <cell r="C464" t="str">
            <v>un</v>
          </cell>
          <cell r="D464">
            <v>617801</v>
          </cell>
        </row>
        <row r="465">
          <cell r="B465" t="str">
            <v>Sanitario ACUAPLUS ultra Bone</v>
          </cell>
          <cell r="C465" t="str">
            <v>un</v>
          </cell>
          <cell r="D465">
            <v>239900</v>
          </cell>
        </row>
        <row r="466">
          <cell r="B466" t="str">
            <v>Sanitario HAPPY REDONDO Single 4.8 litros</v>
          </cell>
          <cell r="C466" t="str">
            <v>un</v>
          </cell>
          <cell r="D466">
            <v>210000</v>
          </cell>
        </row>
        <row r="467">
          <cell r="B467" t="str">
            <v>Sanitario MANANTIAL 4.8 Litros</v>
          </cell>
          <cell r="C467" t="str">
            <v>un</v>
          </cell>
          <cell r="D467">
            <v>240000</v>
          </cell>
        </row>
        <row r="468">
          <cell r="B468" t="str">
            <v>Sanitario AQUAPRO Redondo 3.7 Litros</v>
          </cell>
          <cell r="C468" t="str">
            <v>un</v>
          </cell>
          <cell r="D468">
            <v>307000</v>
          </cell>
        </row>
        <row r="469">
          <cell r="B469" t="str">
            <v>Sanitario Taza Báltica entrada posterior</v>
          </cell>
          <cell r="C469" t="str">
            <v>un</v>
          </cell>
          <cell r="D469">
            <v>638740</v>
          </cell>
        </row>
        <row r="470">
          <cell r="B470" t="str">
            <v>Sanitario ECOCLEAN Single Blanco</v>
          </cell>
          <cell r="C470" t="str">
            <v>un</v>
          </cell>
          <cell r="D470">
            <v>499900</v>
          </cell>
        </row>
        <row r="471">
          <cell r="B471" t="str">
            <v>Sanitario MONTECARLO Novo Redondo</v>
          </cell>
          <cell r="C471" t="str">
            <v>un</v>
          </cell>
          <cell r="D471">
            <v>535000</v>
          </cell>
        </row>
        <row r="472">
          <cell r="B472" t="str">
            <v>Sanitario MONTECARLO Novo Alongado</v>
          </cell>
          <cell r="C472" t="str">
            <v>un</v>
          </cell>
          <cell r="D472">
            <v>594000</v>
          </cell>
        </row>
        <row r="474">
          <cell r="B474" t="str">
            <v>Orinal Infantil</v>
          </cell>
          <cell r="C474" t="str">
            <v>un</v>
          </cell>
          <cell r="D474">
            <v>367000</v>
          </cell>
        </row>
        <row r="475">
          <cell r="B475" t="str">
            <v>Orinal Gotta</v>
          </cell>
          <cell r="C475" t="str">
            <v>un</v>
          </cell>
          <cell r="D475">
            <v>845000</v>
          </cell>
        </row>
        <row r="476">
          <cell r="B476" t="str">
            <v>Ducha Antivandálica</v>
          </cell>
          <cell r="C476" t="str">
            <v>un</v>
          </cell>
          <cell r="D476">
            <v>512200</v>
          </cell>
        </row>
        <row r="478">
          <cell r="B478" t="str">
            <v>Válvula para Sanitario Push</v>
          </cell>
          <cell r="C478" t="str">
            <v>un</v>
          </cell>
          <cell r="D478">
            <v>374650</v>
          </cell>
        </row>
        <row r="479">
          <cell r="B479" t="str">
            <v>Brida Flexible 4"</v>
          </cell>
          <cell r="C479" t="str">
            <v>un</v>
          </cell>
          <cell r="D479">
            <v>80000</v>
          </cell>
        </row>
        <row r="480">
          <cell r="B480" t="str">
            <v>Brida Flexible 3"</v>
          </cell>
          <cell r="C480" t="str">
            <v>un</v>
          </cell>
          <cell r="D480">
            <v>60000</v>
          </cell>
        </row>
        <row r="482">
          <cell r="B482" t="str">
            <v>Lavamanos Aquajet Institucional</v>
          </cell>
          <cell r="C482" t="str">
            <v>un</v>
          </cell>
          <cell r="D482">
            <v>502200</v>
          </cell>
        </row>
        <row r="483">
          <cell r="B483" t="str">
            <v>Lavamanos Free institucional</v>
          </cell>
          <cell r="C483" t="str">
            <v>un</v>
          </cell>
          <cell r="D483">
            <v>443400</v>
          </cell>
        </row>
        <row r="484">
          <cell r="B484" t="str">
            <v>Lavamanos colgar ACUACER</v>
          </cell>
          <cell r="C484" t="str">
            <v>un</v>
          </cell>
          <cell r="D484">
            <v>76100</v>
          </cell>
        </row>
        <row r="485">
          <cell r="B485" t="str">
            <v>Lavamanos Pedestal MILANO</v>
          </cell>
          <cell r="C485" t="str">
            <v>un</v>
          </cell>
          <cell r="D485">
            <v>128800</v>
          </cell>
        </row>
        <row r="486">
          <cell r="B486" t="str">
            <v xml:space="preserve">Lavamanos Pedestal AVANTI </v>
          </cell>
          <cell r="C486" t="str">
            <v>un</v>
          </cell>
          <cell r="D486">
            <v>162800</v>
          </cell>
        </row>
        <row r="487">
          <cell r="B487" t="str">
            <v>Lavamanos colgar Happy Blanco</v>
          </cell>
          <cell r="C487" t="str">
            <v>un</v>
          </cell>
          <cell r="D487">
            <v>104300</v>
          </cell>
        </row>
        <row r="488">
          <cell r="B488" t="str">
            <v>Lavamanos autoportante kit griferia pedal - SOCODA</v>
          </cell>
          <cell r="C488" t="str">
            <v>un</v>
          </cell>
          <cell r="D488">
            <v>908900</v>
          </cell>
        </row>
        <row r="489">
          <cell r="B489" t="str">
            <v>Lavamanos pieamigos kit griferia pedal - SOCODA</v>
          </cell>
          <cell r="C489" t="str">
            <v>un</v>
          </cell>
          <cell r="D489">
            <v>604900</v>
          </cell>
        </row>
        <row r="491">
          <cell r="B491" t="str">
            <v>Grifería institucional de mesa tipo push para lavamanos</v>
          </cell>
          <cell r="C491" t="str">
            <v>un</v>
          </cell>
          <cell r="D491">
            <v>180000</v>
          </cell>
        </row>
        <row r="492">
          <cell r="B492" t="str">
            <v>Grifería para Lavamanos Monocontrol</v>
          </cell>
          <cell r="C492" t="str">
            <v>un</v>
          </cell>
          <cell r="D492">
            <v>131300</v>
          </cell>
        </row>
        <row r="493">
          <cell r="B493" t="str">
            <v>Grifería para Lavamanos NOGAL</v>
          </cell>
          <cell r="C493" t="str">
            <v>un</v>
          </cell>
          <cell r="D493">
            <v>68000</v>
          </cell>
        </row>
        <row r="494">
          <cell r="B494" t="str">
            <v>Grifería Lavaplatos Monocontrol</v>
          </cell>
          <cell r="C494" t="str">
            <v>un</v>
          </cell>
          <cell r="D494">
            <v>154200</v>
          </cell>
        </row>
        <row r="495">
          <cell r="B495" t="str">
            <v>Grifería sencilla lavaplatos</v>
          </cell>
          <cell r="C495" t="str">
            <v>un</v>
          </cell>
          <cell r="D495">
            <v>82140</v>
          </cell>
        </row>
        <row r="496">
          <cell r="B496" t="str">
            <v>Grifería lavaplatos con mezclador</v>
          </cell>
          <cell r="C496" t="str">
            <v>un</v>
          </cell>
          <cell r="D496">
            <v>245620</v>
          </cell>
        </row>
        <row r="497">
          <cell r="B497" t="str">
            <v>Kit Lavaplatos con Desague Tipo Push</v>
          </cell>
          <cell r="C497" t="str">
            <v>un</v>
          </cell>
          <cell r="D497">
            <v>57620</v>
          </cell>
        </row>
        <row r="498">
          <cell r="B498" t="str">
            <v>Kit Lavamos con Desague Sencillo</v>
          </cell>
          <cell r="C498" t="str">
            <v>un</v>
          </cell>
          <cell r="D498">
            <v>32450</v>
          </cell>
        </row>
        <row r="499">
          <cell r="B499" t="str">
            <v>Kit Lavamos con Desague Tipo Push</v>
          </cell>
          <cell r="C499" t="str">
            <v>un</v>
          </cell>
          <cell r="D499">
            <v>57000</v>
          </cell>
        </row>
        <row r="500">
          <cell r="B500" t="str">
            <v>Kit Instalacion Sanitario</v>
          </cell>
          <cell r="C500" t="str">
            <v>un</v>
          </cell>
          <cell r="D500">
            <v>40000</v>
          </cell>
        </row>
        <row r="501">
          <cell r="B501" t="str">
            <v>Kit Instalacion Lavaplatos</v>
          </cell>
          <cell r="C501" t="str">
            <v>un</v>
          </cell>
          <cell r="D501">
            <v>74650</v>
          </cell>
        </row>
        <row r="502">
          <cell r="B502" t="str">
            <v>Kit por 6 Accesorios de baño</v>
          </cell>
          <cell r="C502" t="str">
            <v>un</v>
          </cell>
          <cell r="D502">
            <v>186740</v>
          </cell>
        </row>
        <row r="503">
          <cell r="B503" t="str">
            <v>Ducha doble Manija</v>
          </cell>
          <cell r="C503" t="str">
            <v>un</v>
          </cell>
          <cell r="D503">
            <v>172620</v>
          </cell>
        </row>
        <row r="504">
          <cell r="B504" t="str">
            <v>Ducha sencilla cromo</v>
          </cell>
          <cell r="C504" t="str">
            <v>un</v>
          </cell>
          <cell r="D504">
            <v>139000</v>
          </cell>
        </row>
        <row r="505">
          <cell r="B505" t="str">
            <v>Mezclador de Ducha</v>
          </cell>
          <cell r="C505" t="str">
            <v>un</v>
          </cell>
          <cell r="D505">
            <v>164320</v>
          </cell>
        </row>
        <row r="506">
          <cell r="B506" t="str">
            <v>Rejilla de piso Plastica 3x2</v>
          </cell>
          <cell r="C506" t="str">
            <v>un</v>
          </cell>
          <cell r="D506">
            <v>12000</v>
          </cell>
        </row>
        <row r="507">
          <cell r="B507" t="str">
            <v>Rejilla de piso Metalica 3x2</v>
          </cell>
          <cell r="C507" t="str">
            <v>un</v>
          </cell>
          <cell r="D507">
            <v>49780</v>
          </cell>
        </row>
        <row r="508">
          <cell r="B508" t="str">
            <v>Rejilla de piso Metalica 15-20cm de ancho</v>
          </cell>
          <cell r="C508" t="str">
            <v>ml</v>
          </cell>
          <cell r="D508">
            <v>189690</v>
          </cell>
        </row>
        <row r="509">
          <cell r="B509" t="str">
            <v>Tapa de Registro 20x20</v>
          </cell>
          <cell r="C509" t="str">
            <v>un</v>
          </cell>
          <cell r="D509">
            <v>84590</v>
          </cell>
        </row>
        <row r="511">
          <cell r="B511" t="str">
            <v>Dispensador Jabón</v>
          </cell>
          <cell r="C511" t="str">
            <v>un</v>
          </cell>
          <cell r="D511">
            <v>392900</v>
          </cell>
        </row>
        <row r="512">
          <cell r="B512" t="str">
            <v>Dispensador de papel higiénico</v>
          </cell>
          <cell r="C512" t="str">
            <v>un</v>
          </cell>
          <cell r="D512">
            <v>348100</v>
          </cell>
        </row>
        <row r="513">
          <cell r="B513" t="str">
            <v>Papelera metálica 12lt</v>
          </cell>
          <cell r="C513" t="str">
            <v>un</v>
          </cell>
          <cell r="D513">
            <v>507400</v>
          </cell>
        </row>
        <row r="514">
          <cell r="B514" t="str">
            <v>Dispensador de toallas</v>
          </cell>
          <cell r="C514" t="str">
            <v>un</v>
          </cell>
          <cell r="D514">
            <v>473300</v>
          </cell>
        </row>
        <row r="515">
          <cell r="B515" t="str">
            <v>Barra de Seguridad 24 pulgadas</v>
          </cell>
          <cell r="C515" t="str">
            <v>un</v>
          </cell>
          <cell r="D515">
            <v>181300</v>
          </cell>
        </row>
        <row r="516">
          <cell r="B516" t="str">
            <v>Barra de Seguridad 18 pulgadas</v>
          </cell>
          <cell r="C516" t="str">
            <v>un</v>
          </cell>
          <cell r="D516">
            <v>167700</v>
          </cell>
        </row>
        <row r="517">
          <cell r="B517" t="str">
            <v>Barra de Seguridad 12 pulgadas</v>
          </cell>
          <cell r="C517" t="str">
            <v>un</v>
          </cell>
          <cell r="D517">
            <v>154200</v>
          </cell>
        </row>
        <row r="518">
          <cell r="B518" t="str">
            <v>Barra de Seguridad Plegable</v>
          </cell>
          <cell r="C518" t="str">
            <v>un</v>
          </cell>
          <cell r="D518">
            <v>741600</v>
          </cell>
        </row>
        <row r="519">
          <cell r="B519" t="str">
            <v>Barra de Seguridad en L</v>
          </cell>
          <cell r="C519" t="str">
            <v>un</v>
          </cell>
          <cell r="D519">
            <v>553500</v>
          </cell>
        </row>
        <row r="521">
          <cell r="B521" t="str">
            <v>Mesón en acero inox para cocineta 150x55cm + Poceta</v>
          </cell>
          <cell r="C521" t="str">
            <v>un</v>
          </cell>
          <cell r="D521">
            <v>638870</v>
          </cell>
        </row>
        <row r="522">
          <cell r="B522" t="str">
            <v>Mesón en acero inoxidable 100x55cm + Pozuelo</v>
          </cell>
          <cell r="C522" t="str">
            <v>un</v>
          </cell>
          <cell r="D522">
            <v>527760</v>
          </cell>
        </row>
        <row r="523">
          <cell r="B523" t="str">
            <v>Mesón en acero inox para cocineta 150x55cm + Poceta y 4 Puestos coccion</v>
          </cell>
          <cell r="C523" t="str">
            <v>un</v>
          </cell>
          <cell r="D523">
            <v>570000</v>
          </cell>
        </row>
        <row r="524">
          <cell r="B524" t="str">
            <v>Mesón en Quarstone</v>
          </cell>
          <cell r="C524" t="str">
            <v>ml</v>
          </cell>
          <cell r="D524">
            <v>694300</v>
          </cell>
        </row>
        <row r="525">
          <cell r="B525" t="str">
            <v>Babero en Quarstone hasta 25cm</v>
          </cell>
          <cell r="C525" t="str">
            <v>ml</v>
          </cell>
          <cell r="D525">
            <v>86410</v>
          </cell>
        </row>
        <row r="526">
          <cell r="B526" t="str">
            <v>Salpicadero en Quarstone hasta 8cm</v>
          </cell>
          <cell r="C526" t="str">
            <v>ml</v>
          </cell>
          <cell r="D526">
            <v>75210</v>
          </cell>
        </row>
        <row r="527">
          <cell r="B527" t="str">
            <v>Pega para Piedra</v>
          </cell>
          <cell r="C527" t="str">
            <v>gl</v>
          </cell>
          <cell r="D527">
            <v>18150</v>
          </cell>
        </row>
        <row r="528">
          <cell r="B528" t="str">
            <v>Lavatraperos prefabricado</v>
          </cell>
          <cell r="C528" t="str">
            <v>un</v>
          </cell>
          <cell r="D528">
            <v>246300</v>
          </cell>
        </row>
        <row r="530">
          <cell r="B530" t="str">
            <v>Secador Manos</v>
          </cell>
          <cell r="C530" t="str">
            <v>un</v>
          </cell>
          <cell r="D530">
            <v>633520.00249999994</v>
          </cell>
        </row>
        <row r="531">
          <cell r="B531" t="str">
            <v>Basurera Rectangular</v>
          </cell>
          <cell r="C531" t="str">
            <v>un</v>
          </cell>
          <cell r="D531">
            <v>95119.996299999999</v>
          </cell>
        </row>
        <row r="532">
          <cell r="B532" t="str">
            <v>Dispensador de Papel</v>
          </cell>
          <cell r="C532" t="str">
            <v>un</v>
          </cell>
          <cell r="D532">
            <v>155919.9999</v>
          </cell>
        </row>
        <row r="533">
          <cell r="B533" t="str">
            <v>Dispensador de Toalla</v>
          </cell>
          <cell r="C533" t="str">
            <v>un</v>
          </cell>
          <cell r="D533">
            <v>190319.9963</v>
          </cell>
        </row>
        <row r="534">
          <cell r="B534" t="str">
            <v>Dispensador de Jabon 1.2lt</v>
          </cell>
          <cell r="C534" t="str">
            <v>un</v>
          </cell>
          <cell r="D534">
            <v>172720.00339999999</v>
          </cell>
        </row>
        <row r="535">
          <cell r="B535" t="str">
            <v>Repisa en Acero Inoxidable 40x20cm</v>
          </cell>
          <cell r="C535" t="str">
            <v>un</v>
          </cell>
          <cell r="D535">
            <v>58319.995999999999</v>
          </cell>
        </row>
        <row r="536">
          <cell r="B536" t="str">
            <v>Barra Abatible 800mm Discapacitados</v>
          </cell>
          <cell r="C536" t="str">
            <v>un</v>
          </cell>
          <cell r="D536">
            <v>366319.99670000002</v>
          </cell>
        </row>
        <row r="537">
          <cell r="B537" t="str">
            <v>Barra Seguridad 24" 609mm</v>
          </cell>
          <cell r="C537" t="str">
            <v>un</v>
          </cell>
          <cell r="D537">
            <v>115920.01819999999</v>
          </cell>
        </row>
        <row r="539">
          <cell r="B539" t="str">
            <v>Locker Metalico 4 Puestos 180x63x30cm</v>
          </cell>
          <cell r="C539" t="str">
            <v>un</v>
          </cell>
          <cell r="D539">
            <v>998000</v>
          </cell>
        </row>
        <row r="540">
          <cell r="B540" t="str">
            <v>Cambiador de pañales</v>
          </cell>
          <cell r="C540" t="str">
            <v>un</v>
          </cell>
          <cell r="D540">
            <v>1699900</v>
          </cell>
        </row>
        <row r="541">
          <cell r="B541" t="str">
            <v>Lamina en Acero Inoxidable Cal18</v>
          </cell>
          <cell r="C541" t="str">
            <v>m2</v>
          </cell>
          <cell r="D541">
            <v>319420</v>
          </cell>
        </row>
        <row r="542">
          <cell r="B542" t="str">
            <v>Soporte de Pared en Acero Inox</v>
          </cell>
          <cell r="C542" t="str">
            <v>un</v>
          </cell>
          <cell r="D542">
            <v>39640</v>
          </cell>
        </row>
        <row r="543">
          <cell r="B543" t="str">
            <v>Mueble Inferior Madera aglomerada RH</v>
          </cell>
          <cell r="C543" t="str">
            <v>ml</v>
          </cell>
          <cell r="D543">
            <v>451740</v>
          </cell>
        </row>
        <row r="544">
          <cell r="B544" t="str">
            <v>Mueble Superior Madera aglomerada RH</v>
          </cell>
          <cell r="C544" t="str">
            <v>ml</v>
          </cell>
          <cell r="D544">
            <v>393460</v>
          </cell>
        </row>
        <row r="545">
          <cell r="B545" t="str">
            <v>Mueble Madera Aglomerada para Closet</v>
          </cell>
          <cell r="C545" t="str">
            <v>ml</v>
          </cell>
          <cell r="D545">
            <v>798990</v>
          </cell>
        </row>
        <row r="547">
          <cell r="B547" t="str">
            <v>Detergente</v>
          </cell>
          <cell r="C547" t="str">
            <v>kg</v>
          </cell>
          <cell r="D547">
            <v>4000</v>
          </cell>
        </row>
        <row r="548">
          <cell r="B548" t="str">
            <v>Limpiavidrios</v>
          </cell>
          <cell r="C548" t="str">
            <v>lt</v>
          </cell>
          <cell r="D548">
            <v>3225</v>
          </cell>
        </row>
        <row r="550">
          <cell r="B550" t="str">
            <v>Ventana en Aluminio crudo de 0.70x0.50m</v>
          </cell>
          <cell r="C550" t="str">
            <v>un</v>
          </cell>
          <cell r="D550">
            <v>125850</v>
          </cell>
        </row>
        <row r="551">
          <cell r="B551" t="str">
            <v>Ventana en Aluminio crudo de 1.20x0.50m</v>
          </cell>
          <cell r="C551" t="str">
            <v>un</v>
          </cell>
          <cell r="D551">
            <v>215800</v>
          </cell>
        </row>
        <row r="552">
          <cell r="B552" t="str">
            <v>Ventana en Aluminio crudo de 0.60x1.80m</v>
          </cell>
          <cell r="C552" t="str">
            <v>un</v>
          </cell>
          <cell r="D552">
            <v>345800</v>
          </cell>
        </row>
        <row r="553">
          <cell r="B553" t="str">
            <v>Ventana en Aluminio de 1.90x1.90m</v>
          </cell>
          <cell r="C553" t="str">
            <v>un</v>
          </cell>
          <cell r="D553">
            <v>878900</v>
          </cell>
        </row>
        <row r="554">
          <cell r="B554" t="str">
            <v>Ventana en Aluminio tipo celosia de 0.70x0.60m</v>
          </cell>
          <cell r="C554" t="str">
            <v>un</v>
          </cell>
          <cell r="D554">
            <v>185650</v>
          </cell>
        </row>
        <row r="555">
          <cell r="B555" t="str">
            <v>Ventana en Aluminio tipo celosia de 0.50x0.60m</v>
          </cell>
          <cell r="C555" t="str">
            <v>un</v>
          </cell>
          <cell r="D555">
            <v>145850</v>
          </cell>
        </row>
        <row r="557">
          <cell r="B557" t="str">
            <v>Ventana en PVC 2.70m x 1.20m</v>
          </cell>
          <cell r="C557" t="str">
            <v>un</v>
          </cell>
          <cell r="D557">
            <v>10002269.5</v>
          </cell>
        </row>
        <row r="558">
          <cell r="B558" t="str">
            <v>Ventana en PVC 1.80m x 1.20m</v>
          </cell>
          <cell r="C558" t="str">
            <v>un</v>
          </cell>
          <cell r="D558">
            <v>6097559.2000000002</v>
          </cell>
        </row>
        <row r="559">
          <cell r="B559" t="str">
            <v>Ventana en PVC 0.50m x 1.90m</v>
          </cell>
          <cell r="C559" t="str">
            <v>un</v>
          </cell>
          <cell r="D559">
            <v>2321646</v>
          </cell>
        </row>
        <row r="560">
          <cell r="B560" t="str">
            <v>Ventana en PVC 0.50m x 1.20m</v>
          </cell>
          <cell r="C560" t="str">
            <v>un</v>
          </cell>
          <cell r="D560">
            <v>1448340</v>
          </cell>
        </row>
        <row r="561">
          <cell r="B561" t="str">
            <v>Ventana en PVC celosia 0.60m x 0.50m</v>
          </cell>
          <cell r="C561" t="str">
            <v>un</v>
          </cell>
          <cell r="D561">
            <v>785796.15</v>
          </cell>
        </row>
        <row r="562">
          <cell r="B562" t="str">
            <v>Ventana en PVC celosia 1.20m x 0.50m</v>
          </cell>
          <cell r="C562" t="str">
            <v>un</v>
          </cell>
          <cell r="D562">
            <v>1462715.85</v>
          </cell>
        </row>
        <row r="564">
          <cell r="B564" t="str">
            <v>Ventanal Vidrio 8mm</v>
          </cell>
          <cell r="C564" t="str">
            <v>m2</v>
          </cell>
          <cell r="D564">
            <v>162900</v>
          </cell>
        </row>
        <row r="565">
          <cell r="B565" t="str">
            <v>Vidrio 8mm</v>
          </cell>
          <cell r="C565" t="str">
            <v>m2</v>
          </cell>
          <cell r="D565">
            <v>165790</v>
          </cell>
        </row>
        <row r="567">
          <cell r="B567" t="str">
            <v>Puerta Metalica de 1.00x2.10m</v>
          </cell>
          <cell r="C567" t="str">
            <v>un</v>
          </cell>
          <cell r="D567">
            <v>632120</v>
          </cell>
        </row>
        <row r="568">
          <cell r="B568" t="str">
            <v>Puerta Madera de 0.90 a 1.10</v>
          </cell>
          <cell r="C568" t="str">
            <v>un</v>
          </cell>
          <cell r="D568">
            <v>325000</v>
          </cell>
        </row>
        <row r="569">
          <cell r="B569" t="str">
            <v>Puerta Madera de 0.66 a 0.89</v>
          </cell>
          <cell r="C569" t="str">
            <v>un</v>
          </cell>
          <cell r="D569">
            <v>305000</v>
          </cell>
        </row>
        <row r="570">
          <cell r="B570" t="str">
            <v>Puerta Madera de 0.80x2.10m</v>
          </cell>
          <cell r="C570" t="str">
            <v>un</v>
          </cell>
          <cell r="D570">
            <v>472320</v>
          </cell>
        </row>
        <row r="571">
          <cell r="B571" t="str">
            <v>Puerta Madera de 0.70x2.10m</v>
          </cell>
          <cell r="C571" t="str">
            <v>un</v>
          </cell>
          <cell r="D571">
            <v>431210</v>
          </cell>
        </row>
        <row r="572">
          <cell r="B572" t="str">
            <v>Puerta Metálica CR 1.00mx2.30m</v>
          </cell>
          <cell r="C572" t="str">
            <v>un</v>
          </cell>
          <cell r="D572">
            <v>1644580</v>
          </cell>
        </row>
        <row r="573">
          <cell r="B573" t="str">
            <v>Puerta Metálica CR 0.90mx2.30m</v>
          </cell>
          <cell r="C573" t="str">
            <v>un</v>
          </cell>
          <cell r="D573">
            <v>1456560</v>
          </cell>
        </row>
        <row r="574">
          <cell r="B574" t="str">
            <v>Puerta Metálica CR 0.85mx2.30m</v>
          </cell>
          <cell r="C574" t="str">
            <v>un</v>
          </cell>
          <cell r="D574">
            <v>1362550</v>
          </cell>
        </row>
        <row r="575">
          <cell r="B575" t="str">
            <v>Puerta Metálica CR 0.77mx2.30m</v>
          </cell>
          <cell r="C575" t="str">
            <v>un</v>
          </cell>
          <cell r="D575">
            <v>1079330</v>
          </cell>
        </row>
        <row r="576">
          <cell r="C576" t="str">
            <v>un</v>
          </cell>
        </row>
        <row r="577">
          <cell r="B577" t="str">
            <v>Puerta Metálica + vidrio 1.10mx2.30m</v>
          </cell>
          <cell r="C577" t="str">
            <v>un</v>
          </cell>
          <cell r="D577">
            <v>1845600</v>
          </cell>
        </row>
        <row r="578">
          <cell r="B578" t="str">
            <v>Puerta Metálica + vidrio 0.90mx2.30m</v>
          </cell>
          <cell r="C578" t="str">
            <v>un</v>
          </cell>
          <cell r="D578">
            <v>1815400</v>
          </cell>
        </row>
        <row r="579">
          <cell r="B579" t="str">
            <v>Puerta de vidrio 0.90mx2.30m</v>
          </cell>
          <cell r="C579" t="str">
            <v>un</v>
          </cell>
          <cell r="D579">
            <v>1648900</v>
          </cell>
        </row>
        <row r="580">
          <cell r="B580" t="str">
            <v xml:space="preserve">Puerta de vidrio 1.80mx2.30m Doble </v>
          </cell>
          <cell r="C580" t="str">
            <v>un</v>
          </cell>
          <cell r="D580">
            <v>2579900</v>
          </cell>
        </row>
        <row r="581">
          <cell r="B581" t="str">
            <v>Puerta de vidrio 1.80mx2.30m Doble Corrediza</v>
          </cell>
          <cell r="C581" t="str">
            <v>un</v>
          </cell>
          <cell r="D581">
            <v>3039900</v>
          </cell>
        </row>
        <row r="582">
          <cell r="C582" t="str">
            <v>un</v>
          </cell>
        </row>
        <row r="583">
          <cell r="B583" t="str">
            <v>Puerta Metálica Pivitada 1.00mx2.30m</v>
          </cell>
          <cell r="C583" t="str">
            <v>un</v>
          </cell>
          <cell r="D583">
            <v>1728600</v>
          </cell>
        </row>
        <row r="584">
          <cell r="B584" t="str">
            <v>Puerta Metálica Pivitada 0.90mx2.30m</v>
          </cell>
          <cell r="C584" t="str">
            <v>un</v>
          </cell>
          <cell r="D584">
            <v>1541400</v>
          </cell>
        </row>
        <row r="586">
          <cell r="B586" t="str">
            <v>Puerta Metálica celosia 0.85mx2.30m + Celosia 0.85mx2.30m</v>
          </cell>
          <cell r="C586" t="str">
            <v>un</v>
          </cell>
          <cell r="D586">
            <v>1898000</v>
          </cell>
        </row>
        <row r="587">
          <cell r="B587" t="str">
            <v>Puerta Metálica celosia 0.90mx2.30m</v>
          </cell>
          <cell r="C587" t="str">
            <v>un</v>
          </cell>
          <cell r="D587">
            <v>1588000</v>
          </cell>
        </row>
        <row r="589">
          <cell r="B589" t="str">
            <v>Puerta doble ala Metálica + vidrio 1.60mx2.30m Emergencia</v>
          </cell>
          <cell r="C589" t="str">
            <v>un</v>
          </cell>
          <cell r="D589">
            <v>7286000</v>
          </cell>
        </row>
        <row r="590">
          <cell r="B590" t="str">
            <v>Puerta doble ala Metálica 1.30mx2.30m</v>
          </cell>
          <cell r="C590" t="str">
            <v>un</v>
          </cell>
          <cell r="D590">
            <v>2975900</v>
          </cell>
        </row>
        <row r="591">
          <cell r="B591" t="str">
            <v>Puerta doble ala Metálica 1.90mx2.30m</v>
          </cell>
          <cell r="C591" t="str">
            <v>un</v>
          </cell>
          <cell r="D591">
            <v>5834300</v>
          </cell>
        </row>
        <row r="592">
          <cell r="B592" t="str">
            <v>Puerta corrediza Metálica 2.20mx2.40m</v>
          </cell>
          <cell r="C592" t="str">
            <v>un</v>
          </cell>
          <cell r="D592">
            <v>6123300</v>
          </cell>
        </row>
        <row r="593">
          <cell r="B593" t="str">
            <v>Puerta corrediza Metálica + Vidrio 4.20mx2.80m</v>
          </cell>
          <cell r="C593" t="str">
            <v>un</v>
          </cell>
          <cell r="D593">
            <v>7223300</v>
          </cell>
        </row>
        <row r="594">
          <cell r="C594" t="str">
            <v>un</v>
          </cell>
        </row>
        <row r="595">
          <cell r="B595" t="str">
            <v>Puerta Metalica y Lamina de 0.80x2.10m</v>
          </cell>
          <cell r="C595" t="str">
            <v>un</v>
          </cell>
          <cell r="D595">
            <v>320000</v>
          </cell>
        </row>
        <row r="596">
          <cell r="B596" t="str">
            <v>Puerts Madera + Vidrio</v>
          </cell>
          <cell r="C596" t="str">
            <v>un</v>
          </cell>
          <cell r="D596">
            <v>765000</v>
          </cell>
        </row>
        <row r="597">
          <cell r="B597" t="str">
            <v>Puerta Metalica de 2.00x2.10m</v>
          </cell>
          <cell r="C597" t="str">
            <v>un</v>
          </cell>
          <cell r="D597">
            <v>1364300</v>
          </cell>
        </row>
        <row r="598">
          <cell r="B598" t="str">
            <v>Puerta en PVC 1.00mx2.30m</v>
          </cell>
          <cell r="C598" t="str">
            <v>un</v>
          </cell>
          <cell r="D598">
            <v>2318786.3650000002</v>
          </cell>
        </row>
        <row r="599">
          <cell r="B599" t="str">
            <v>Puerta en PVC 0.90mx2.30m</v>
          </cell>
          <cell r="C599" t="str">
            <v>un</v>
          </cell>
          <cell r="D599">
            <v>2199776.3149999999</v>
          </cell>
        </row>
        <row r="600">
          <cell r="B600" t="str">
            <v>Puerta en PVC 0.85mx2.30m</v>
          </cell>
          <cell r="C600" t="str">
            <v>un</v>
          </cell>
          <cell r="D600">
            <v>2140443.37</v>
          </cell>
        </row>
        <row r="601">
          <cell r="B601" t="str">
            <v>Puerta en PVC 0.77mx2.30m</v>
          </cell>
          <cell r="C601" t="str">
            <v>un</v>
          </cell>
          <cell r="D601">
            <v>2044722.675</v>
          </cell>
        </row>
        <row r="602">
          <cell r="B602" t="str">
            <v>Puerta en PVC + vidrio 1.10mx2.30m</v>
          </cell>
          <cell r="C602" t="str">
            <v>un</v>
          </cell>
          <cell r="D602">
            <v>3469085</v>
          </cell>
        </row>
        <row r="603">
          <cell r="B603" t="str">
            <v>Puerta en PVC + vidrio 0.90mx2.30m</v>
          </cell>
          <cell r="C603" t="str">
            <v>un</v>
          </cell>
          <cell r="D603">
            <v>3006462.2600000002</v>
          </cell>
        </row>
        <row r="604">
          <cell r="B604" t="str">
            <v>Puerta en PVC Pivote 1.00mx2.30m</v>
          </cell>
          <cell r="C604" t="str">
            <v>un</v>
          </cell>
          <cell r="D604">
            <v>10691798.84</v>
          </cell>
        </row>
        <row r="605">
          <cell r="B605" t="str">
            <v>Puerta en PVC Pivote 0.90mx2.30m</v>
          </cell>
          <cell r="C605" t="str">
            <v>un</v>
          </cell>
          <cell r="D605">
            <v>10516466.050000001</v>
          </cell>
        </row>
        <row r="606">
          <cell r="B606" t="str">
            <v>Puerta en PVC celosia 0.77mx2.30m</v>
          </cell>
          <cell r="C606" t="str">
            <v>un</v>
          </cell>
          <cell r="D606">
            <v>3452458.9650000003</v>
          </cell>
        </row>
        <row r="607">
          <cell r="B607" t="str">
            <v>Puerta en PVC celosia 0.90mx2.30m</v>
          </cell>
          <cell r="C607" t="str">
            <v>un</v>
          </cell>
          <cell r="D607">
            <v>4165873.9650000003</v>
          </cell>
        </row>
        <row r="609">
          <cell r="B609" t="str">
            <v>Puerta doble ala en PVC + vidrio 1.60mx2.30m</v>
          </cell>
          <cell r="C609" t="str">
            <v>un</v>
          </cell>
          <cell r="D609">
            <v>5681848.5750000002</v>
          </cell>
        </row>
        <row r="610">
          <cell r="B610" t="str">
            <v>Puerta doble ala en PVC/Metalica 1.50mx2.30m Acustica</v>
          </cell>
          <cell r="C610" t="str">
            <v>un</v>
          </cell>
          <cell r="D610">
            <v>4964848.5750000002</v>
          </cell>
        </row>
        <row r="611">
          <cell r="B611" t="str">
            <v>Puerta doble ala en PVC 1.90mx2.30m</v>
          </cell>
          <cell r="C611" t="str">
            <v>un</v>
          </cell>
          <cell r="D611">
            <v>5436234.25</v>
          </cell>
        </row>
        <row r="612">
          <cell r="B612" t="str">
            <v>Puerta corrediza en PVC 2.20mx2.40m</v>
          </cell>
          <cell r="C612" t="str">
            <v>un</v>
          </cell>
          <cell r="D612">
            <v>9026744.3949999996</v>
          </cell>
        </row>
        <row r="613">
          <cell r="C613" t="str">
            <v>un</v>
          </cell>
        </row>
        <row r="615">
          <cell r="B615" t="str">
            <v>Cierrapuertas</v>
          </cell>
          <cell r="C615" t="str">
            <v>un</v>
          </cell>
          <cell r="D615">
            <v>179890</v>
          </cell>
        </row>
        <row r="616">
          <cell r="B616" t="str">
            <v>Bisagra de hierro para Puerta X3</v>
          </cell>
          <cell r="C616" t="str">
            <v>un</v>
          </cell>
          <cell r="D616">
            <v>12430</v>
          </cell>
        </row>
        <row r="617">
          <cell r="B617" t="str">
            <v>Kit Cerradura de Incrustar 4 Bulones</v>
          </cell>
          <cell r="C617" t="str">
            <v>un</v>
          </cell>
          <cell r="D617">
            <v>282900</v>
          </cell>
        </row>
        <row r="618">
          <cell r="B618" t="str">
            <v>Chapa Candado Puerta Corrediza</v>
          </cell>
          <cell r="C618" t="str">
            <v>un</v>
          </cell>
          <cell r="D618">
            <v>284150</v>
          </cell>
        </row>
        <row r="619">
          <cell r="B619" t="str">
            <v>Chapa Pomo Entrada Principal Acero</v>
          </cell>
          <cell r="C619" t="str">
            <v>un</v>
          </cell>
          <cell r="D619">
            <v>44000</v>
          </cell>
        </row>
        <row r="620">
          <cell r="B620" t="str">
            <v>Chapa Pomo Alcoba Acero</v>
          </cell>
          <cell r="C620" t="str">
            <v>un</v>
          </cell>
          <cell r="D620">
            <v>22000</v>
          </cell>
        </row>
        <row r="621">
          <cell r="B621" t="str">
            <v>Chapa Pomo Baño Acero</v>
          </cell>
          <cell r="C621" t="str">
            <v>un</v>
          </cell>
          <cell r="D621">
            <v>20500</v>
          </cell>
        </row>
        <row r="622">
          <cell r="B622" t="str">
            <v>Topepuerta</v>
          </cell>
          <cell r="C622" t="str">
            <v>un</v>
          </cell>
          <cell r="D622">
            <v>15200</v>
          </cell>
        </row>
        <row r="623">
          <cell r="B623" t="str">
            <v>Bisagra de hierro para puerta</v>
          </cell>
          <cell r="C623" t="str">
            <v>un</v>
          </cell>
          <cell r="D623">
            <v>8530</v>
          </cell>
        </row>
        <row r="625">
          <cell r="B625" t="str">
            <v>----------------------------</v>
          </cell>
        </row>
      </sheetData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86726-21AE-467D-8286-2F6951AF7644}">
  <dimension ref="A1:S45"/>
  <sheetViews>
    <sheetView tabSelected="1" workbookViewId="0">
      <selection activeCell="M55" sqref="M55"/>
    </sheetView>
  </sheetViews>
  <sheetFormatPr baseColWidth="10" defaultRowHeight="12.75" x14ac:dyDescent="0.2"/>
  <cols>
    <col min="1" max="1" width="7.42578125" customWidth="1"/>
    <col min="8" max="8" width="8.28515625" customWidth="1"/>
    <col min="9" max="9" width="9.28515625" customWidth="1"/>
    <col min="10" max="10" width="12" customWidth="1"/>
    <col min="11" max="11" width="15.5703125" customWidth="1"/>
    <col min="12" max="12" width="15.140625" style="99" customWidth="1"/>
    <col min="13" max="14" width="15.7109375" style="99" customWidth="1"/>
    <col min="15" max="15" width="16.7109375" style="99" customWidth="1"/>
    <col min="16" max="16" width="16.85546875" customWidth="1"/>
    <col min="17" max="17" width="19.28515625" customWidth="1"/>
    <col min="18" max="18" width="13.28515625" bestFit="1" customWidth="1"/>
  </cols>
  <sheetData>
    <row r="1" spans="1:19" ht="27" customHeight="1" thickBot="1" x14ac:dyDescent="0.25">
      <c r="A1" s="285" t="s">
        <v>210</v>
      </c>
      <c r="B1" s="286"/>
      <c r="C1" s="286"/>
      <c r="D1" s="286"/>
      <c r="E1" s="286"/>
      <c r="F1" s="286"/>
      <c r="G1" s="286"/>
      <c r="H1" s="286"/>
      <c r="I1" s="286"/>
      <c r="J1" s="286"/>
      <c r="K1" s="287"/>
      <c r="L1" s="282" t="s">
        <v>212</v>
      </c>
      <c r="M1" s="283"/>
      <c r="N1" s="283"/>
      <c r="O1" s="284"/>
    </row>
    <row r="2" spans="1:19" ht="12.75" customHeight="1" x14ac:dyDescent="0.2">
      <c r="A2" s="288"/>
      <c r="B2" s="289"/>
      <c r="C2" s="289"/>
      <c r="D2" s="289"/>
      <c r="E2" s="289"/>
      <c r="F2" s="289"/>
      <c r="G2" s="289"/>
      <c r="H2" s="289"/>
      <c r="I2" s="289"/>
      <c r="J2" s="289"/>
      <c r="K2" s="290"/>
      <c r="L2" s="285" t="s">
        <v>206</v>
      </c>
      <c r="M2" s="286" t="s">
        <v>207</v>
      </c>
      <c r="N2" s="286" t="s">
        <v>208</v>
      </c>
      <c r="O2" s="287" t="s">
        <v>209</v>
      </c>
    </row>
    <row r="3" spans="1:19" ht="13.5" thickBot="1" x14ac:dyDescent="0.25">
      <c r="A3" s="291"/>
      <c r="B3" s="292"/>
      <c r="C3" s="292"/>
      <c r="D3" s="292"/>
      <c r="E3" s="292"/>
      <c r="F3" s="292"/>
      <c r="G3" s="292"/>
      <c r="H3" s="292"/>
      <c r="I3" s="292"/>
      <c r="J3" s="292"/>
      <c r="K3" s="293"/>
      <c r="L3" s="296"/>
      <c r="M3" s="292"/>
      <c r="N3" s="292"/>
      <c r="O3" s="297"/>
    </row>
    <row r="4" spans="1:19" ht="13.5" thickBot="1" x14ac:dyDescent="0.25">
      <c r="A4" s="202" t="s">
        <v>0</v>
      </c>
      <c r="B4" s="298" t="s">
        <v>1</v>
      </c>
      <c r="C4" s="299"/>
      <c r="D4" s="299"/>
      <c r="E4" s="299"/>
      <c r="F4" s="299"/>
      <c r="G4" s="300"/>
      <c r="H4" s="145" t="s">
        <v>2</v>
      </c>
      <c r="I4" s="195" t="s">
        <v>75</v>
      </c>
      <c r="J4" s="145" t="s">
        <v>76</v>
      </c>
      <c r="K4" s="195" t="s">
        <v>3</v>
      </c>
      <c r="L4" s="195" t="s">
        <v>75</v>
      </c>
      <c r="M4" s="195" t="s">
        <v>75</v>
      </c>
      <c r="N4" s="195" t="s">
        <v>75</v>
      </c>
      <c r="O4" s="233" t="s">
        <v>211</v>
      </c>
    </row>
    <row r="5" spans="1:19" s="99" customFormat="1" ht="15.75" customHeight="1" thickBot="1" x14ac:dyDescent="0.25">
      <c r="A5" s="301" t="s">
        <v>156</v>
      </c>
      <c r="B5" s="302"/>
      <c r="C5" s="302"/>
      <c r="D5" s="302"/>
      <c r="E5" s="302"/>
      <c r="F5" s="302"/>
      <c r="G5" s="302"/>
      <c r="H5" s="302"/>
      <c r="I5" s="302"/>
      <c r="J5" s="302"/>
      <c r="K5" s="224">
        <f>SUM(K6:K10)</f>
        <v>33654246.859999999</v>
      </c>
      <c r="L5" s="294"/>
      <c r="M5" s="295"/>
      <c r="N5" s="295"/>
      <c r="O5" s="225"/>
    </row>
    <row r="6" spans="1:19" ht="93.75" customHeight="1" x14ac:dyDescent="0.2">
      <c r="A6" s="226">
        <v>1</v>
      </c>
      <c r="B6" s="260" t="str">
        <f>MEMORIAS!B5</f>
        <v>EXCAVACIÓN MANUAL de material heterogéneo, bajo cualquier grado de humedad. Incluye: roca descompuesta, bolas de roca de volumen inferior a 0.35 m³., el cargue, transporte interno y externo, botada de material proveniente de las excavaciones en el botadero destinado por el municipio o los sitios donde indique la interventoría y su medida será en el sitio. No incluye entibado.</v>
      </c>
      <c r="C6" s="261"/>
      <c r="D6" s="261"/>
      <c r="E6" s="261"/>
      <c r="F6" s="261"/>
      <c r="G6" s="261"/>
      <c r="H6" s="227" t="s">
        <v>34</v>
      </c>
      <c r="I6" s="227">
        <f>MEMORIAS!L5</f>
        <v>19.98</v>
      </c>
      <c r="J6" s="228">
        <f>'APU''S'!H39</f>
        <v>41057</v>
      </c>
      <c r="K6" s="229">
        <f>I6*J6</f>
        <v>820318.86</v>
      </c>
      <c r="L6" s="230">
        <v>0</v>
      </c>
      <c r="M6" s="231">
        <f>+I6-(15*(5/2)*(0.5/2))</f>
        <v>10.605</v>
      </c>
      <c r="N6" s="255">
        <f>I6-M6</f>
        <v>9.375</v>
      </c>
      <c r="O6" s="232">
        <f>J6*N6</f>
        <v>384909.375</v>
      </c>
    </row>
    <row r="7" spans="1:19" ht="76.5" customHeight="1" x14ac:dyDescent="0.2">
      <c r="A7" s="209">
        <v>2</v>
      </c>
      <c r="B7" s="262" t="str">
        <f>MEMORIAS!B10</f>
        <v>LLENOS CON MATERIAL DE PRÉSTAMO, compactados mecánicamente hasta obtener una densidad del 98% de la máxima obtenida en el ensayo del Próctor modificado. Incluye el suministro, transporte, colocación de la arenilla, la compactación de la misma y transporte interno. Y su medida será en sitio ya compactado.</v>
      </c>
      <c r="C7" s="262"/>
      <c r="D7" s="262"/>
      <c r="E7" s="262"/>
      <c r="F7" s="262"/>
      <c r="G7" s="262"/>
      <c r="H7" s="210" t="s">
        <v>34</v>
      </c>
      <c r="I7" s="210">
        <f>MEMORIAS!K10</f>
        <v>8.1</v>
      </c>
      <c r="J7" s="211">
        <f>'APU''S'!H81</f>
        <v>104055</v>
      </c>
      <c r="K7" s="205">
        <f t="shared" ref="K7:K9" si="0">I7*J7</f>
        <v>842845.5</v>
      </c>
      <c r="L7" s="214">
        <f>40.17000001-I7</f>
        <v>32.070000010000001</v>
      </c>
      <c r="M7" s="215">
        <v>0</v>
      </c>
      <c r="N7" s="254">
        <f>I7+L7</f>
        <v>40.170000010000003</v>
      </c>
      <c r="O7" s="203">
        <f t="shared" ref="O7:O18" si="1">J7*N7</f>
        <v>4179889.35104055</v>
      </c>
    </row>
    <row r="8" spans="1:19" ht="114.75" customHeight="1" x14ac:dyDescent="0.2">
      <c r="A8" s="209">
        <v>3</v>
      </c>
      <c r="B8" s="262" t="str">
        <f>MEMORIAS!B16</f>
        <v>Construcción de MURO DE CONTENCIÓN en concreto de 21 Mpa  con acelerante tipo Sikaset L o equivalente, espesor segun diseño. Incluye suministro, transporte y colocación del concreto para el vastago y la fundación, formaleta para acabado a la vista en la parte frontal, de tal forma que garantice una superficie pareja y homogénea, vibrado, protección, curado y todos los demás elementos necesarios para su correcto armado y vaciado. El acero de refuerzo se pagará en su respectivo item según diseño.</v>
      </c>
      <c r="C8" s="262"/>
      <c r="D8" s="262"/>
      <c r="E8" s="262"/>
      <c r="F8" s="262"/>
      <c r="G8" s="262"/>
      <c r="H8" s="210" t="s">
        <v>34</v>
      </c>
      <c r="I8" s="210">
        <f>MEMORIAS!P16</f>
        <v>21.880000000000003</v>
      </c>
      <c r="J8" s="211">
        <f>'APU''S'!H131</f>
        <v>924500</v>
      </c>
      <c r="K8" s="205">
        <f t="shared" si="0"/>
        <v>20228060.000000004</v>
      </c>
      <c r="L8" s="216">
        <v>0</v>
      </c>
      <c r="M8" s="215">
        <f>I8</f>
        <v>21.880000000000003</v>
      </c>
      <c r="N8" s="254">
        <f t="shared" ref="N8:N9" si="2">I8-M8</f>
        <v>0</v>
      </c>
      <c r="O8" s="203">
        <f t="shared" si="1"/>
        <v>0</v>
      </c>
    </row>
    <row r="9" spans="1:19" ht="77.25" customHeight="1" x14ac:dyDescent="0.2">
      <c r="A9" s="209">
        <v>4</v>
      </c>
      <c r="B9" s="262" t="str">
        <f>MEMORIAS!B20</f>
        <v>Suministro, transporte e instalación de ACERO DE REFUERZO FIGURADO Fy= 420 MPa-60000 PSI, corrugado. Incluye transporte con descarga, transporte interno, alambre de amarre, certificados y todos los elementos necesarios para su correcta instalación, según diseño y recomendaciones estructurales.</v>
      </c>
      <c r="C9" s="262"/>
      <c r="D9" s="262"/>
      <c r="E9" s="262"/>
      <c r="F9" s="262"/>
      <c r="G9" s="262"/>
      <c r="H9" s="210" t="s">
        <v>87</v>
      </c>
      <c r="I9" s="210">
        <f>MEMORIAS!L20</f>
        <v>1170</v>
      </c>
      <c r="J9" s="211">
        <f>'APU''S'!H174</f>
        <v>9628</v>
      </c>
      <c r="K9" s="205">
        <f t="shared" si="0"/>
        <v>11264760</v>
      </c>
      <c r="L9" s="216">
        <v>0</v>
      </c>
      <c r="M9" s="215">
        <f>I9</f>
        <v>1170</v>
      </c>
      <c r="N9" s="254">
        <f t="shared" si="2"/>
        <v>0</v>
      </c>
      <c r="O9" s="203">
        <f t="shared" si="1"/>
        <v>0</v>
      </c>
    </row>
    <row r="10" spans="1:19" s="99" customFormat="1" ht="77.25" customHeight="1" x14ac:dyDescent="0.2">
      <c r="A10" s="209">
        <v>5</v>
      </c>
      <c r="B10" s="263" t="str">
        <f>MEMORIAS!B25</f>
        <v>Construcción de Filtro en geotextil NT - 2000, geodrén, piedra para filtro entre 1-3" y todos los elementos necesarios para su correcto funcionamiento, altura según diseño (largo 20 metros, alto con pendiente de 5  a 0 metros)</v>
      </c>
      <c r="C10" s="264"/>
      <c r="D10" s="264"/>
      <c r="E10" s="264"/>
      <c r="F10" s="264"/>
      <c r="G10" s="265"/>
      <c r="H10" s="210" t="s">
        <v>4</v>
      </c>
      <c r="I10" s="210">
        <f>MEMORIAS!L25</f>
        <v>11.25</v>
      </c>
      <c r="J10" s="211">
        <f>'APU''S'!H217</f>
        <v>44290</v>
      </c>
      <c r="K10" s="205">
        <f>I10*J10</f>
        <v>498262.5</v>
      </c>
      <c r="L10" s="216">
        <f>(3*15)-I10</f>
        <v>33.75</v>
      </c>
      <c r="M10" s="215">
        <v>0</v>
      </c>
      <c r="N10" s="254">
        <f>I10+L10</f>
        <v>45</v>
      </c>
      <c r="O10" s="203">
        <f t="shared" si="1"/>
        <v>1993050</v>
      </c>
    </row>
    <row r="11" spans="1:19" s="99" customFormat="1" ht="17.25" customHeight="1" x14ac:dyDescent="0.2">
      <c r="A11" s="267" t="s">
        <v>166</v>
      </c>
      <c r="B11" s="268"/>
      <c r="C11" s="268"/>
      <c r="D11" s="268"/>
      <c r="E11" s="268"/>
      <c r="F11" s="268"/>
      <c r="G11" s="268"/>
      <c r="H11" s="268"/>
      <c r="I11" s="268"/>
      <c r="J11" s="268"/>
      <c r="K11" s="206">
        <f>SUM(K12:K14)</f>
        <v>11129932</v>
      </c>
      <c r="L11" s="217"/>
      <c r="M11" s="218"/>
      <c r="N11" s="254"/>
      <c r="O11" s="203">
        <f t="shared" si="1"/>
        <v>0</v>
      </c>
    </row>
    <row r="12" spans="1:19" s="99" customFormat="1" ht="57.75" customHeight="1" x14ac:dyDescent="0.2">
      <c r="A12" s="209">
        <v>6</v>
      </c>
      <c r="B12" s="269" t="s">
        <v>160</v>
      </c>
      <c r="C12" s="269"/>
      <c r="D12" s="269"/>
      <c r="E12" s="269"/>
      <c r="F12" s="269"/>
      <c r="G12" s="269"/>
      <c r="H12" s="210" t="s">
        <v>4</v>
      </c>
      <c r="I12" s="210">
        <f>MEMORIAS!L30</f>
        <v>60</v>
      </c>
      <c r="J12" s="211">
        <f>'APU''S'!H260</f>
        <v>34837</v>
      </c>
      <c r="K12" s="205">
        <f>I12*J12</f>
        <v>2090220</v>
      </c>
      <c r="L12" s="216">
        <v>0</v>
      </c>
      <c r="M12" s="215">
        <v>0</v>
      </c>
      <c r="N12" s="254">
        <f t="shared" ref="N12" si="3">I12+L12</f>
        <v>60</v>
      </c>
      <c r="O12" s="203">
        <f t="shared" si="1"/>
        <v>2090220</v>
      </c>
    </row>
    <row r="13" spans="1:19" s="99" customFormat="1" ht="52.5" customHeight="1" x14ac:dyDescent="0.2">
      <c r="A13" s="204">
        <v>7</v>
      </c>
      <c r="B13" s="266" t="s">
        <v>167</v>
      </c>
      <c r="C13" s="266"/>
      <c r="D13" s="266"/>
      <c r="E13" s="266"/>
      <c r="F13" s="266"/>
      <c r="G13" s="266"/>
      <c r="H13" s="146" t="s">
        <v>34</v>
      </c>
      <c r="I13" s="146">
        <f>MEMORIAS!L35</f>
        <v>9</v>
      </c>
      <c r="J13" s="147">
        <f>'APU''S'!H310</f>
        <v>924500</v>
      </c>
      <c r="K13" s="205">
        <f>I13*J13</f>
        <v>8320500</v>
      </c>
      <c r="L13" s="216">
        <v>0</v>
      </c>
      <c r="M13" s="215">
        <f>I13</f>
        <v>9</v>
      </c>
      <c r="N13" s="254">
        <f>I13-M13</f>
        <v>0</v>
      </c>
      <c r="O13" s="203">
        <f t="shared" si="1"/>
        <v>0</v>
      </c>
    </row>
    <row r="14" spans="1:19" s="99" customFormat="1" ht="77.25" customHeight="1" x14ac:dyDescent="0.2">
      <c r="A14" s="204">
        <v>8</v>
      </c>
      <c r="B14" s="257" t="s">
        <v>144</v>
      </c>
      <c r="C14" s="257"/>
      <c r="D14" s="257"/>
      <c r="E14" s="257"/>
      <c r="F14" s="257"/>
      <c r="G14" s="257"/>
      <c r="H14" s="146" t="s">
        <v>87</v>
      </c>
      <c r="I14" s="146">
        <f>MEMORIAS!L39</f>
        <v>74.7</v>
      </c>
      <c r="J14" s="147">
        <f>'APU''S'!H352</f>
        <v>9628</v>
      </c>
      <c r="K14" s="205">
        <f>ROUND(I14*J14,0)</f>
        <v>719212</v>
      </c>
      <c r="L14" s="216">
        <v>0</v>
      </c>
      <c r="M14" s="215">
        <f>I14</f>
        <v>74.7</v>
      </c>
      <c r="N14" s="254">
        <f>I14-M14</f>
        <v>0</v>
      </c>
      <c r="O14" s="203">
        <f t="shared" si="1"/>
        <v>0</v>
      </c>
    </row>
    <row r="15" spans="1:19" s="99" customFormat="1" ht="77.25" customHeight="1" x14ac:dyDescent="0.2">
      <c r="A15" s="204" t="s">
        <v>170</v>
      </c>
      <c r="B15" s="273" t="s">
        <v>196</v>
      </c>
      <c r="C15" s="274"/>
      <c r="D15" s="274"/>
      <c r="E15" s="274"/>
      <c r="F15" s="274"/>
      <c r="G15" s="275"/>
      <c r="H15" s="146" t="s">
        <v>34</v>
      </c>
      <c r="I15" s="146">
        <v>0</v>
      </c>
      <c r="J15" s="147">
        <f>'APUS OE'!H43</f>
        <v>788046</v>
      </c>
      <c r="K15" s="205">
        <f>I15*J15</f>
        <v>0</v>
      </c>
      <c r="L15" s="212">
        <v>13.799136000000001</v>
      </c>
      <c r="M15" s="215">
        <v>0</v>
      </c>
      <c r="N15" s="254">
        <f>I16+L15</f>
        <v>13.799136000000001</v>
      </c>
      <c r="O15" s="203">
        <f t="shared" si="1"/>
        <v>10874353.928256001</v>
      </c>
    </row>
    <row r="16" spans="1:19" s="99" customFormat="1" ht="77.25" customHeight="1" x14ac:dyDescent="0.2">
      <c r="A16" s="204" t="s">
        <v>171</v>
      </c>
      <c r="B16" s="276" t="s">
        <v>200</v>
      </c>
      <c r="C16" s="276"/>
      <c r="D16" s="276"/>
      <c r="E16" s="276"/>
      <c r="F16" s="276"/>
      <c r="G16" s="276"/>
      <c r="H16" s="146" t="s">
        <v>4</v>
      </c>
      <c r="I16" s="146">
        <v>0</v>
      </c>
      <c r="J16" s="147">
        <f>'APUS OE'!H89</f>
        <v>376423</v>
      </c>
      <c r="K16" s="205">
        <f t="shared" ref="K16:K19" si="4">I16*J16</f>
        <v>0</v>
      </c>
      <c r="L16" s="213">
        <f>3*15</f>
        <v>45</v>
      </c>
      <c r="M16" s="215">
        <v>0</v>
      </c>
      <c r="N16" s="254">
        <f t="shared" ref="N16:N19" si="5">I17+L16</f>
        <v>45</v>
      </c>
      <c r="O16" s="203">
        <f t="shared" si="1"/>
        <v>16939035</v>
      </c>
      <c r="Q16" s="101"/>
      <c r="R16" s="101"/>
      <c r="S16" s="194"/>
    </row>
    <row r="17" spans="1:19" s="99" customFormat="1" ht="77.25" customHeight="1" x14ac:dyDescent="0.2">
      <c r="A17" s="204" t="s">
        <v>193</v>
      </c>
      <c r="B17" s="276" t="s">
        <v>203</v>
      </c>
      <c r="C17" s="276"/>
      <c r="D17" s="276"/>
      <c r="E17" s="276"/>
      <c r="F17" s="276"/>
      <c r="G17" s="276"/>
      <c r="H17" s="146" t="s">
        <v>180</v>
      </c>
      <c r="I17" s="146">
        <v>0</v>
      </c>
      <c r="J17" s="147">
        <f>'APUS OE'!H178</f>
        <v>434371</v>
      </c>
      <c r="K17" s="205">
        <f t="shared" si="4"/>
        <v>0</v>
      </c>
      <c r="L17" s="213">
        <f>0.6</f>
        <v>0.6</v>
      </c>
      <c r="M17" s="215">
        <v>0</v>
      </c>
      <c r="N17" s="254">
        <f t="shared" si="5"/>
        <v>0.6</v>
      </c>
      <c r="O17" s="203">
        <f t="shared" si="1"/>
        <v>260622.59999999998</v>
      </c>
      <c r="Q17" s="102"/>
      <c r="R17" s="193"/>
      <c r="S17" s="102"/>
    </row>
    <row r="18" spans="1:19" s="99" customFormat="1" ht="77.25" customHeight="1" x14ac:dyDescent="0.2">
      <c r="A18" s="204" t="s">
        <v>194</v>
      </c>
      <c r="B18" s="276" t="s">
        <v>198</v>
      </c>
      <c r="C18" s="276"/>
      <c r="D18" s="276"/>
      <c r="E18" s="276"/>
      <c r="F18" s="276"/>
      <c r="G18" s="276"/>
      <c r="H18" s="146" t="s">
        <v>4</v>
      </c>
      <c r="I18" s="146">
        <v>0</v>
      </c>
      <c r="J18" s="147">
        <f>'APUS OE'!H225</f>
        <v>38851</v>
      </c>
      <c r="K18" s="205">
        <f t="shared" si="4"/>
        <v>0</v>
      </c>
      <c r="L18" s="213">
        <f>15*3</f>
        <v>45</v>
      </c>
      <c r="M18" s="215">
        <v>0</v>
      </c>
      <c r="N18" s="254">
        <f t="shared" si="5"/>
        <v>45</v>
      </c>
      <c r="O18" s="203">
        <f t="shared" si="1"/>
        <v>1748295</v>
      </c>
    </row>
    <row r="19" spans="1:19" s="99" customFormat="1" ht="77.25" customHeight="1" x14ac:dyDescent="0.2">
      <c r="A19" s="246" t="s">
        <v>195</v>
      </c>
      <c r="B19" s="277" t="s">
        <v>183</v>
      </c>
      <c r="C19" s="277"/>
      <c r="D19" s="277"/>
      <c r="E19" s="277"/>
      <c r="F19" s="277"/>
      <c r="G19" s="277"/>
      <c r="H19" s="247" t="s">
        <v>87</v>
      </c>
      <c r="I19" s="247">
        <v>0</v>
      </c>
      <c r="J19" s="248">
        <f>'APUS OE'!H132</f>
        <v>7481</v>
      </c>
      <c r="K19" s="249">
        <f t="shared" si="4"/>
        <v>0</v>
      </c>
      <c r="L19" s="237">
        <v>898.4</v>
      </c>
      <c r="M19" s="238">
        <v>0</v>
      </c>
      <c r="N19" s="256">
        <f t="shared" si="5"/>
        <v>898.4</v>
      </c>
      <c r="O19" s="239">
        <f>J19*N19</f>
        <v>6720930.3999999994</v>
      </c>
    </row>
    <row r="20" spans="1:19" ht="14.25" customHeight="1" x14ac:dyDescent="0.2">
      <c r="A20" s="253"/>
      <c r="B20" s="280"/>
      <c r="C20" s="280"/>
      <c r="D20" s="280"/>
      <c r="E20" s="280"/>
      <c r="F20" s="280"/>
      <c r="G20" s="280"/>
      <c r="H20" s="281" t="s">
        <v>5</v>
      </c>
      <c r="I20" s="281"/>
      <c r="J20" s="281"/>
      <c r="K20" s="240">
        <f>ROUNDDOWN((K5+K11),0)</f>
        <v>44784178</v>
      </c>
      <c r="L20" s="240"/>
      <c r="M20" s="240"/>
      <c r="N20" s="240"/>
      <c r="O20" s="240">
        <f>ROUNDUP(SUM(O6:O19),0)</f>
        <v>45191306</v>
      </c>
    </row>
    <row r="21" spans="1:19" x14ac:dyDescent="0.2">
      <c r="A21" s="250"/>
      <c r="B21" s="250"/>
      <c r="C21" s="250"/>
      <c r="D21" s="250"/>
      <c r="E21" s="250"/>
      <c r="F21" s="250"/>
      <c r="G21" s="258" t="s">
        <v>36</v>
      </c>
      <c r="H21" s="258"/>
      <c r="I21" s="259"/>
      <c r="J21" s="251">
        <f>11%</f>
        <v>0.11</v>
      </c>
      <c r="K21" s="252">
        <f>J21*K20</f>
        <v>4926259.58</v>
      </c>
      <c r="L21" s="241"/>
      <c r="M21" s="241"/>
      <c r="N21" s="242">
        <f ca="1">ADMINISTRACIÓN!F34</f>
        <v>9.9999999999999992E-2</v>
      </c>
      <c r="O21" s="241">
        <f ca="1">ADMINISTRACIÓN!G36</f>
        <v>4519131</v>
      </c>
    </row>
    <row r="22" spans="1:19" x14ac:dyDescent="0.2">
      <c r="I22" s="278" t="s">
        <v>35</v>
      </c>
      <c r="J22" s="279"/>
      <c r="K22" s="234">
        <f>ROUNDDOWN(K20+K21,0)</f>
        <v>49710437</v>
      </c>
      <c r="L22" s="243"/>
      <c r="M22" s="243"/>
      <c r="N22" s="243"/>
      <c r="O22" s="243">
        <f ca="1">O20+O21</f>
        <v>49710437</v>
      </c>
    </row>
    <row r="23" spans="1:19" x14ac:dyDescent="0.2">
      <c r="I23" s="137" t="s">
        <v>77</v>
      </c>
      <c r="J23" s="137"/>
      <c r="K23" s="235">
        <v>49000000</v>
      </c>
      <c r="L23" s="244"/>
      <c r="M23" s="244"/>
      <c r="N23" s="244"/>
      <c r="O23" s="244">
        <v>49000000</v>
      </c>
    </row>
    <row r="24" spans="1:19" x14ac:dyDescent="0.2">
      <c r="I24" s="137" t="s">
        <v>78</v>
      </c>
      <c r="J24" s="138"/>
      <c r="K24" s="236">
        <f>K22-K23</f>
        <v>710437</v>
      </c>
      <c r="L24" s="245"/>
      <c r="M24" s="245"/>
      <c r="N24" s="245"/>
      <c r="O24" s="245">
        <v>710437</v>
      </c>
    </row>
    <row r="25" spans="1:19" x14ac:dyDescent="0.2">
      <c r="K25" s="102"/>
      <c r="L25" s="102"/>
      <c r="M25" s="102"/>
      <c r="N25" s="102"/>
      <c r="O25" s="102"/>
    </row>
    <row r="26" spans="1:19" x14ac:dyDescent="0.2">
      <c r="J26" s="136"/>
      <c r="K26" s="102"/>
      <c r="L26" s="102"/>
      <c r="M26" s="102"/>
      <c r="N26" s="102"/>
      <c r="O26" s="102"/>
    </row>
    <row r="28" spans="1:19" x14ac:dyDescent="0.2">
      <c r="K28" s="102"/>
      <c r="L28" s="102"/>
      <c r="M28" s="102"/>
      <c r="N28" s="102"/>
      <c r="O28" s="102"/>
    </row>
    <row r="32" spans="1:19" ht="26.25" hidden="1" customHeight="1" x14ac:dyDescent="0.2"/>
    <row r="33" spans="2:15" hidden="1" x14ac:dyDescent="0.2"/>
    <row r="34" spans="2:15" hidden="1" x14ac:dyDescent="0.2">
      <c r="E34" t="s">
        <v>176</v>
      </c>
      <c r="H34" s="101" t="s">
        <v>181</v>
      </c>
      <c r="M34" s="219"/>
      <c r="N34" s="219"/>
      <c r="O34" s="219"/>
    </row>
    <row r="35" spans="2:15" hidden="1" x14ac:dyDescent="0.2">
      <c r="E35">
        <v>2.1</v>
      </c>
      <c r="H35" s="191">
        <f>(15+15+15)*4</f>
        <v>180</v>
      </c>
      <c r="M35" s="271"/>
      <c r="N35" s="272"/>
      <c r="O35" s="272"/>
    </row>
    <row r="36" spans="2:15" hidden="1" x14ac:dyDescent="0.2">
      <c r="B36" t="s">
        <v>172</v>
      </c>
      <c r="C36" t="s">
        <v>173</v>
      </c>
      <c r="E36">
        <v>1.9</v>
      </c>
      <c r="H36" s="191">
        <f>6*4*3.5</f>
        <v>84</v>
      </c>
      <c r="I36" s="192" t="s">
        <v>197</v>
      </c>
      <c r="M36" s="220"/>
      <c r="N36" s="221"/>
      <c r="O36" s="222"/>
    </row>
    <row r="37" spans="2:15" hidden="1" x14ac:dyDescent="0.2">
      <c r="B37" t="s">
        <v>174</v>
      </c>
      <c r="C37" t="s">
        <v>175</v>
      </c>
      <c r="E37">
        <v>2.1</v>
      </c>
      <c r="G37">
        <f>(0.5-0.07-0.07)*4</f>
        <v>1.44</v>
      </c>
      <c r="H37">
        <f>(15/0.15)</f>
        <v>100</v>
      </c>
      <c r="I37" s="191">
        <f>G37*H37</f>
        <v>144</v>
      </c>
      <c r="M37" s="219"/>
      <c r="N37" s="270"/>
      <c r="O37" s="270"/>
    </row>
    <row r="38" spans="2:15" hidden="1" x14ac:dyDescent="0.2">
      <c r="E38">
        <v>2.7</v>
      </c>
      <c r="G38">
        <f>(0.3-0.04-0.04)*4</f>
        <v>0.88</v>
      </c>
      <c r="H38">
        <f>(3/0.15)</f>
        <v>20</v>
      </c>
      <c r="I38" s="191">
        <f>H38*6</f>
        <v>120</v>
      </c>
      <c r="M38" s="219"/>
      <c r="N38" s="220"/>
      <c r="O38" s="220"/>
    </row>
    <row r="39" spans="2:15" hidden="1" x14ac:dyDescent="0.2">
      <c r="E39">
        <v>2.8</v>
      </c>
      <c r="G39" s="99">
        <f>(0.3-0.04-0.04)*4</f>
        <v>0.88</v>
      </c>
      <c r="H39">
        <f>15/0.15</f>
        <v>100</v>
      </c>
      <c r="I39">
        <f>G39*H39*2</f>
        <v>176</v>
      </c>
      <c r="M39" s="219"/>
      <c r="N39" s="220"/>
      <c r="O39" s="223"/>
    </row>
    <row r="40" spans="2:15" hidden="1" x14ac:dyDescent="0.2">
      <c r="E40">
        <v>2.7</v>
      </c>
      <c r="H40">
        <f>H35+H36</f>
        <v>264</v>
      </c>
      <c r="I40">
        <v>0.99399999999999999</v>
      </c>
      <c r="J40">
        <f>H40*I40</f>
        <v>262.416</v>
      </c>
      <c r="M40" s="219"/>
      <c r="N40" s="219"/>
      <c r="O40" s="219"/>
    </row>
    <row r="41" spans="2:15" hidden="1" x14ac:dyDescent="0.2">
      <c r="E41">
        <f>SUM(E35:E40)</f>
        <v>14.3</v>
      </c>
      <c r="H41">
        <f>I37+I38+I39</f>
        <v>440</v>
      </c>
      <c r="I41">
        <v>0.56000000000000005</v>
      </c>
      <c r="J41">
        <f>H41*I41</f>
        <v>246.40000000000003</v>
      </c>
      <c r="M41" s="219"/>
      <c r="N41" s="219"/>
      <c r="O41" s="219"/>
    </row>
    <row r="42" spans="2:15" hidden="1" x14ac:dyDescent="0.2">
      <c r="E42">
        <v>14.5</v>
      </c>
      <c r="J42">
        <f>J40+J41</f>
        <v>508.81600000000003</v>
      </c>
      <c r="M42" s="219"/>
      <c r="N42" s="219"/>
      <c r="O42" s="219"/>
    </row>
    <row r="43" spans="2:15" hidden="1" x14ac:dyDescent="0.2">
      <c r="M43" s="219"/>
      <c r="N43" s="219"/>
      <c r="O43" s="219"/>
    </row>
    <row r="44" spans="2:15" hidden="1" x14ac:dyDescent="0.2"/>
    <row r="45" spans="2:15" hidden="1" x14ac:dyDescent="0.2"/>
  </sheetData>
  <mergeCells count="29">
    <mergeCell ref="L1:O1"/>
    <mergeCell ref="A1:K3"/>
    <mergeCell ref="L5:N5"/>
    <mergeCell ref="L2:L3"/>
    <mergeCell ref="M2:M3"/>
    <mergeCell ref="N2:N3"/>
    <mergeCell ref="O2:O3"/>
    <mergeCell ref="B4:G4"/>
    <mergeCell ref="A5:J5"/>
    <mergeCell ref="N37:O37"/>
    <mergeCell ref="M35:O35"/>
    <mergeCell ref="B15:G15"/>
    <mergeCell ref="B16:G16"/>
    <mergeCell ref="B17:G17"/>
    <mergeCell ref="B18:G18"/>
    <mergeCell ref="B19:G19"/>
    <mergeCell ref="I22:J22"/>
    <mergeCell ref="B20:G20"/>
    <mergeCell ref="H20:J20"/>
    <mergeCell ref="B14:G14"/>
    <mergeCell ref="G21:I21"/>
    <mergeCell ref="B6:G6"/>
    <mergeCell ref="B7:G7"/>
    <mergeCell ref="B10:G10"/>
    <mergeCell ref="B13:G13"/>
    <mergeCell ref="A11:J11"/>
    <mergeCell ref="B12:G12"/>
    <mergeCell ref="B8:G8"/>
    <mergeCell ref="B9:G9"/>
  </mergeCells>
  <phoneticPr fontId="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03AF2-54BD-4653-8771-D53F5D32CF05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7A9B2-71CB-474A-A550-D94410F591A2}">
  <dimension ref="B2:H61"/>
  <sheetViews>
    <sheetView topLeftCell="A4" workbookViewId="0">
      <selection activeCell="J17" sqref="J17"/>
    </sheetView>
  </sheetViews>
  <sheetFormatPr baseColWidth="10" defaultRowHeight="12.75" x14ac:dyDescent="0.2"/>
  <cols>
    <col min="1" max="1" width="11.5703125" style="103"/>
    <col min="2" max="2" width="58.140625" style="103" bestFit="1" customWidth="1"/>
    <col min="3" max="4" width="12.28515625" style="103" bestFit="1" customWidth="1"/>
    <col min="5" max="5" width="19.42578125" style="103" customWidth="1"/>
    <col min="6" max="6" width="12.140625" style="103" bestFit="1" customWidth="1"/>
    <col min="7" max="7" width="19.28515625" style="103" customWidth="1"/>
    <col min="8" max="8" width="16.5703125" style="103" bestFit="1" customWidth="1"/>
    <col min="9" max="257" width="11.5703125" style="103"/>
    <col min="258" max="258" width="58.140625" style="103" bestFit="1" customWidth="1"/>
    <col min="259" max="260" width="11.5703125" style="103"/>
    <col min="261" max="261" width="19.42578125" style="103" customWidth="1"/>
    <col min="262" max="262" width="11.5703125" style="103"/>
    <col min="263" max="263" width="16.5703125" style="103" customWidth="1"/>
    <col min="264" max="264" width="16.5703125" style="103" bestFit="1" customWidth="1"/>
    <col min="265" max="513" width="11.5703125" style="103"/>
    <col min="514" max="514" width="58.140625" style="103" bestFit="1" customWidth="1"/>
    <col min="515" max="516" width="11.5703125" style="103"/>
    <col min="517" max="517" width="19.42578125" style="103" customWidth="1"/>
    <col min="518" max="518" width="11.5703125" style="103"/>
    <col min="519" max="519" width="16.5703125" style="103" customWidth="1"/>
    <col min="520" max="520" width="16.5703125" style="103" bestFit="1" customWidth="1"/>
    <col min="521" max="769" width="11.5703125" style="103"/>
    <col min="770" max="770" width="58.140625" style="103" bestFit="1" customWidth="1"/>
    <col min="771" max="772" width="11.5703125" style="103"/>
    <col min="773" max="773" width="19.42578125" style="103" customWidth="1"/>
    <col min="774" max="774" width="11.5703125" style="103"/>
    <col min="775" max="775" width="16.5703125" style="103" customWidth="1"/>
    <col min="776" max="776" width="16.5703125" style="103" bestFit="1" customWidth="1"/>
    <col min="777" max="1025" width="11.5703125" style="103"/>
    <col min="1026" max="1026" width="58.140625" style="103" bestFit="1" customWidth="1"/>
    <col min="1027" max="1028" width="11.5703125" style="103"/>
    <col min="1029" max="1029" width="19.42578125" style="103" customWidth="1"/>
    <col min="1030" max="1030" width="11.5703125" style="103"/>
    <col min="1031" max="1031" width="16.5703125" style="103" customWidth="1"/>
    <col min="1032" max="1032" width="16.5703125" style="103" bestFit="1" customWidth="1"/>
    <col min="1033" max="1281" width="11.5703125" style="103"/>
    <col min="1282" max="1282" width="58.140625" style="103" bestFit="1" customWidth="1"/>
    <col min="1283" max="1284" width="11.5703125" style="103"/>
    <col min="1285" max="1285" width="19.42578125" style="103" customWidth="1"/>
    <col min="1286" max="1286" width="11.5703125" style="103"/>
    <col min="1287" max="1287" width="16.5703125" style="103" customWidth="1"/>
    <col min="1288" max="1288" width="16.5703125" style="103" bestFit="1" customWidth="1"/>
    <col min="1289" max="1537" width="11.5703125" style="103"/>
    <col min="1538" max="1538" width="58.140625" style="103" bestFit="1" customWidth="1"/>
    <col min="1539" max="1540" width="11.5703125" style="103"/>
    <col min="1541" max="1541" width="19.42578125" style="103" customWidth="1"/>
    <col min="1542" max="1542" width="11.5703125" style="103"/>
    <col min="1543" max="1543" width="16.5703125" style="103" customWidth="1"/>
    <col min="1544" max="1544" width="16.5703125" style="103" bestFit="1" customWidth="1"/>
    <col min="1545" max="1793" width="11.5703125" style="103"/>
    <col min="1794" max="1794" width="58.140625" style="103" bestFit="1" customWidth="1"/>
    <col min="1795" max="1796" width="11.5703125" style="103"/>
    <col min="1797" max="1797" width="19.42578125" style="103" customWidth="1"/>
    <col min="1798" max="1798" width="11.5703125" style="103"/>
    <col min="1799" max="1799" width="16.5703125" style="103" customWidth="1"/>
    <col min="1800" max="1800" width="16.5703125" style="103" bestFit="1" customWidth="1"/>
    <col min="1801" max="2049" width="11.5703125" style="103"/>
    <col min="2050" max="2050" width="58.140625" style="103" bestFit="1" customWidth="1"/>
    <col min="2051" max="2052" width="11.5703125" style="103"/>
    <col min="2053" max="2053" width="19.42578125" style="103" customWidth="1"/>
    <col min="2054" max="2054" width="11.5703125" style="103"/>
    <col min="2055" max="2055" width="16.5703125" style="103" customWidth="1"/>
    <col min="2056" max="2056" width="16.5703125" style="103" bestFit="1" customWidth="1"/>
    <col min="2057" max="2305" width="11.5703125" style="103"/>
    <col min="2306" max="2306" width="58.140625" style="103" bestFit="1" customWidth="1"/>
    <col min="2307" max="2308" width="11.5703125" style="103"/>
    <col min="2309" max="2309" width="19.42578125" style="103" customWidth="1"/>
    <col min="2310" max="2310" width="11.5703125" style="103"/>
    <col min="2311" max="2311" width="16.5703125" style="103" customWidth="1"/>
    <col min="2312" max="2312" width="16.5703125" style="103" bestFit="1" customWidth="1"/>
    <col min="2313" max="2561" width="11.5703125" style="103"/>
    <col min="2562" max="2562" width="58.140625" style="103" bestFit="1" customWidth="1"/>
    <col min="2563" max="2564" width="11.5703125" style="103"/>
    <col min="2565" max="2565" width="19.42578125" style="103" customWidth="1"/>
    <col min="2566" max="2566" width="11.5703125" style="103"/>
    <col min="2567" max="2567" width="16.5703125" style="103" customWidth="1"/>
    <col min="2568" max="2568" width="16.5703125" style="103" bestFit="1" customWidth="1"/>
    <col min="2569" max="2817" width="11.5703125" style="103"/>
    <col min="2818" max="2818" width="58.140625" style="103" bestFit="1" customWidth="1"/>
    <col min="2819" max="2820" width="11.5703125" style="103"/>
    <col min="2821" max="2821" width="19.42578125" style="103" customWidth="1"/>
    <col min="2822" max="2822" width="11.5703125" style="103"/>
    <col min="2823" max="2823" width="16.5703125" style="103" customWidth="1"/>
    <col min="2824" max="2824" width="16.5703125" style="103" bestFit="1" customWidth="1"/>
    <col min="2825" max="3073" width="11.5703125" style="103"/>
    <col min="3074" max="3074" width="58.140625" style="103" bestFit="1" customWidth="1"/>
    <col min="3075" max="3076" width="11.5703125" style="103"/>
    <col min="3077" max="3077" width="19.42578125" style="103" customWidth="1"/>
    <col min="3078" max="3078" width="11.5703125" style="103"/>
    <col min="3079" max="3079" width="16.5703125" style="103" customWidth="1"/>
    <col min="3080" max="3080" width="16.5703125" style="103" bestFit="1" customWidth="1"/>
    <col min="3081" max="3329" width="11.5703125" style="103"/>
    <col min="3330" max="3330" width="58.140625" style="103" bestFit="1" customWidth="1"/>
    <col min="3331" max="3332" width="11.5703125" style="103"/>
    <col min="3333" max="3333" width="19.42578125" style="103" customWidth="1"/>
    <col min="3334" max="3334" width="11.5703125" style="103"/>
    <col min="3335" max="3335" width="16.5703125" style="103" customWidth="1"/>
    <col min="3336" max="3336" width="16.5703125" style="103" bestFit="1" customWidth="1"/>
    <col min="3337" max="3585" width="11.5703125" style="103"/>
    <col min="3586" max="3586" width="58.140625" style="103" bestFit="1" customWidth="1"/>
    <col min="3587" max="3588" width="11.5703125" style="103"/>
    <col min="3589" max="3589" width="19.42578125" style="103" customWidth="1"/>
    <col min="3590" max="3590" width="11.5703125" style="103"/>
    <col min="3591" max="3591" width="16.5703125" style="103" customWidth="1"/>
    <col min="3592" max="3592" width="16.5703125" style="103" bestFit="1" customWidth="1"/>
    <col min="3593" max="3841" width="11.5703125" style="103"/>
    <col min="3842" max="3842" width="58.140625" style="103" bestFit="1" customWidth="1"/>
    <col min="3843" max="3844" width="11.5703125" style="103"/>
    <col min="3845" max="3845" width="19.42578125" style="103" customWidth="1"/>
    <col min="3846" max="3846" width="11.5703125" style="103"/>
    <col min="3847" max="3847" width="16.5703125" style="103" customWidth="1"/>
    <col min="3848" max="3848" width="16.5703125" style="103" bestFit="1" customWidth="1"/>
    <col min="3849" max="4097" width="11.5703125" style="103"/>
    <col min="4098" max="4098" width="58.140625" style="103" bestFit="1" customWidth="1"/>
    <col min="4099" max="4100" width="11.5703125" style="103"/>
    <col min="4101" max="4101" width="19.42578125" style="103" customWidth="1"/>
    <col min="4102" max="4102" width="11.5703125" style="103"/>
    <col min="4103" max="4103" width="16.5703125" style="103" customWidth="1"/>
    <col min="4104" max="4104" width="16.5703125" style="103" bestFit="1" customWidth="1"/>
    <col min="4105" max="4353" width="11.5703125" style="103"/>
    <col min="4354" max="4354" width="58.140625" style="103" bestFit="1" customWidth="1"/>
    <col min="4355" max="4356" width="11.5703125" style="103"/>
    <col min="4357" max="4357" width="19.42578125" style="103" customWidth="1"/>
    <col min="4358" max="4358" width="11.5703125" style="103"/>
    <col min="4359" max="4359" width="16.5703125" style="103" customWidth="1"/>
    <col min="4360" max="4360" width="16.5703125" style="103" bestFit="1" customWidth="1"/>
    <col min="4361" max="4609" width="11.5703125" style="103"/>
    <col min="4610" max="4610" width="58.140625" style="103" bestFit="1" customWidth="1"/>
    <col min="4611" max="4612" width="11.5703125" style="103"/>
    <col min="4613" max="4613" width="19.42578125" style="103" customWidth="1"/>
    <col min="4614" max="4614" width="11.5703125" style="103"/>
    <col min="4615" max="4615" width="16.5703125" style="103" customWidth="1"/>
    <col min="4616" max="4616" width="16.5703125" style="103" bestFit="1" customWidth="1"/>
    <col min="4617" max="4865" width="11.5703125" style="103"/>
    <col min="4866" max="4866" width="58.140625" style="103" bestFit="1" customWidth="1"/>
    <col min="4867" max="4868" width="11.5703125" style="103"/>
    <col min="4869" max="4869" width="19.42578125" style="103" customWidth="1"/>
    <col min="4870" max="4870" width="11.5703125" style="103"/>
    <col min="4871" max="4871" width="16.5703125" style="103" customWidth="1"/>
    <col min="4872" max="4872" width="16.5703125" style="103" bestFit="1" customWidth="1"/>
    <col min="4873" max="5121" width="11.5703125" style="103"/>
    <col min="5122" max="5122" width="58.140625" style="103" bestFit="1" customWidth="1"/>
    <col min="5123" max="5124" width="11.5703125" style="103"/>
    <col min="5125" max="5125" width="19.42578125" style="103" customWidth="1"/>
    <col min="5126" max="5126" width="11.5703125" style="103"/>
    <col min="5127" max="5127" width="16.5703125" style="103" customWidth="1"/>
    <col min="5128" max="5128" width="16.5703125" style="103" bestFit="1" customWidth="1"/>
    <col min="5129" max="5377" width="11.5703125" style="103"/>
    <col min="5378" max="5378" width="58.140625" style="103" bestFit="1" customWidth="1"/>
    <col min="5379" max="5380" width="11.5703125" style="103"/>
    <col min="5381" max="5381" width="19.42578125" style="103" customWidth="1"/>
    <col min="5382" max="5382" width="11.5703125" style="103"/>
    <col min="5383" max="5383" width="16.5703125" style="103" customWidth="1"/>
    <col min="5384" max="5384" width="16.5703125" style="103" bestFit="1" customWidth="1"/>
    <col min="5385" max="5633" width="11.5703125" style="103"/>
    <col min="5634" max="5634" width="58.140625" style="103" bestFit="1" customWidth="1"/>
    <col min="5635" max="5636" width="11.5703125" style="103"/>
    <col min="5637" max="5637" width="19.42578125" style="103" customWidth="1"/>
    <col min="5638" max="5638" width="11.5703125" style="103"/>
    <col min="5639" max="5639" width="16.5703125" style="103" customWidth="1"/>
    <col min="5640" max="5640" width="16.5703125" style="103" bestFit="1" customWidth="1"/>
    <col min="5641" max="5889" width="11.5703125" style="103"/>
    <col min="5890" max="5890" width="58.140625" style="103" bestFit="1" customWidth="1"/>
    <col min="5891" max="5892" width="11.5703125" style="103"/>
    <col min="5893" max="5893" width="19.42578125" style="103" customWidth="1"/>
    <col min="5894" max="5894" width="11.5703125" style="103"/>
    <col min="5895" max="5895" width="16.5703125" style="103" customWidth="1"/>
    <col min="5896" max="5896" width="16.5703125" style="103" bestFit="1" customWidth="1"/>
    <col min="5897" max="6145" width="11.5703125" style="103"/>
    <col min="6146" max="6146" width="58.140625" style="103" bestFit="1" customWidth="1"/>
    <col min="6147" max="6148" width="11.5703125" style="103"/>
    <col min="6149" max="6149" width="19.42578125" style="103" customWidth="1"/>
    <col min="6150" max="6150" width="11.5703125" style="103"/>
    <col min="6151" max="6151" width="16.5703125" style="103" customWidth="1"/>
    <col min="6152" max="6152" width="16.5703125" style="103" bestFit="1" customWidth="1"/>
    <col min="6153" max="6401" width="11.5703125" style="103"/>
    <col min="6402" max="6402" width="58.140625" style="103" bestFit="1" customWidth="1"/>
    <col min="6403" max="6404" width="11.5703125" style="103"/>
    <col min="6405" max="6405" width="19.42578125" style="103" customWidth="1"/>
    <col min="6406" max="6406" width="11.5703125" style="103"/>
    <col min="6407" max="6407" width="16.5703125" style="103" customWidth="1"/>
    <col min="6408" max="6408" width="16.5703125" style="103" bestFit="1" customWidth="1"/>
    <col min="6409" max="6657" width="11.5703125" style="103"/>
    <col min="6658" max="6658" width="58.140625" style="103" bestFit="1" customWidth="1"/>
    <col min="6659" max="6660" width="11.5703125" style="103"/>
    <col min="6661" max="6661" width="19.42578125" style="103" customWidth="1"/>
    <col min="6662" max="6662" width="11.5703125" style="103"/>
    <col min="6663" max="6663" width="16.5703125" style="103" customWidth="1"/>
    <col min="6664" max="6664" width="16.5703125" style="103" bestFit="1" customWidth="1"/>
    <col min="6665" max="6913" width="11.5703125" style="103"/>
    <col min="6914" max="6914" width="58.140625" style="103" bestFit="1" customWidth="1"/>
    <col min="6915" max="6916" width="11.5703125" style="103"/>
    <col min="6917" max="6917" width="19.42578125" style="103" customWidth="1"/>
    <col min="6918" max="6918" width="11.5703125" style="103"/>
    <col min="6919" max="6919" width="16.5703125" style="103" customWidth="1"/>
    <col min="6920" max="6920" width="16.5703125" style="103" bestFit="1" customWidth="1"/>
    <col min="6921" max="7169" width="11.5703125" style="103"/>
    <col min="7170" max="7170" width="58.140625" style="103" bestFit="1" customWidth="1"/>
    <col min="7171" max="7172" width="11.5703125" style="103"/>
    <col min="7173" max="7173" width="19.42578125" style="103" customWidth="1"/>
    <col min="7174" max="7174" width="11.5703125" style="103"/>
    <col min="7175" max="7175" width="16.5703125" style="103" customWidth="1"/>
    <col min="7176" max="7176" width="16.5703125" style="103" bestFit="1" customWidth="1"/>
    <col min="7177" max="7425" width="11.5703125" style="103"/>
    <col min="7426" max="7426" width="58.140625" style="103" bestFit="1" customWidth="1"/>
    <col min="7427" max="7428" width="11.5703125" style="103"/>
    <col min="7429" max="7429" width="19.42578125" style="103" customWidth="1"/>
    <col min="7430" max="7430" width="11.5703125" style="103"/>
    <col min="7431" max="7431" width="16.5703125" style="103" customWidth="1"/>
    <col min="7432" max="7432" width="16.5703125" style="103" bestFit="1" customWidth="1"/>
    <col min="7433" max="7681" width="11.5703125" style="103"/>
    <col min="7682" max="7682" width="58.140625" style="103" bestFit="1" customWidth="1"/>
    <col min="7683" max="7684" width="11.5703125" style="103"/>
    <col min="7685" max="7685" width="19.42578125" style="103" customWidth="1"/>
    <col min="7686" max="7686" width="11.5703125" style="103"/>
    <col min="7687" max="7687" width="16.5703125" style="103" customWidth="1"/>
    <col min="7688" max="7688" width="16.5703125" style="103" bestFit="1" customWidth="1"/>
    <col min="7689" max="7937" width="11.5703125" style="103"/>
    <col min="7938" max="7938" width="58.140625" style="103" bestFit="1" customWidth="1"/>
    <col min="7939" max="7940" width="11.5703125" style="103"/>
    <col min="7941" max="7941" width="19.42578125" style="103" customWidth="1"/>
    <col min="7942" max="7942" width="11.5703125" style="103"/>
    <col min="7943" max="7943" width="16.5703125" style="103" customWidth="1"/>
    <col min="7944" max="7944" width="16.5703125" style="103" bestFit="1" customWidth="1"/>
    <col min="7945" max="8193" width="11.5703125" style="103"/>
    <col min="8194" max="8194" width="58.140625" style="103" bestFit="1" customWidth="1"/>
    <col min="8195" max="8196" width="11.5703125" style="103"/>
    <col min="8197" max="8197" width="19.42578125" style="103" customWidth="1"/>
    <col min="8198" max="8198" width="11.5703125" style="103"/>
    <col min="8199" max="8199" width="16.5703125" style="103" customWidth="1"/>
    <col min="8200" max="8200" width="16.5703125" style="103" bestFit="1" customWidth="1"/>
    <col min="8201" max="8449" width="11.5703125" style="103"/>
    <col min="8450" max="8450" width="58.140625" style="103" bestFit="1" customWidth="1"/>
    <col min="8451" max="8452" width="11.5703125" style="103"/>
    <col min="8453" max="8453" width="19.42578125" style="103" customWidth="1"/>
    <col min="8454" max="8454" width="11.5703125" style="103"/>
    <col min="8455" max="8455" width="16.5703125" style="103" customWidth="1"/>
    <col min="8456" max="8456" width="16.5703125" style="103" bestFit="1" customWidth="1"/>
    <col min="8457" max="8705" width="11.5703125" style="103"/>
    <col min="8706" max="8706" width="58.140625" style="103" bestFit="1" customWidth="1"/>
    <col min="8707" max="8708" width="11.5703125" style="103"/>
    <col min="8709" max="8709" width="19.42578125" style="103" customWidth="1"/>
    <col min="8710" max="8710" width="11.5703125" style="103"/>
    <col min="8711" max="8711" width="16.5703125" style="103" customWidth="1"/>
    <col min="8712" max="8712" width="16.5703125" style="103" bestFit="1" customWidth="1"/>
    <col min="8713" max="8961" width="11.5703125" style="103"/>
    <col min="8962" max="8962" width="58.140625" style="103" bestFit="1" customWidth="1"/>
    <col min="8963" max="8964" width="11.5703125" style="103"/>
    <col min="8965" max="8965" width="19.42578125" style="103" customWidth="1"/>
    <col min="8966" max="8966" width="11.5703125" style="103"/>
    <col min="8967" max="8967" width="16.5703125" style="103" customWidth="1"/>
    <col min="8968" max="8968" width="16.5703125" style="103" bestFit="1" customWidth="1"/>
    <col min="8969" max="9217" width="11.5703125" style="103"/>
    <col min="9218" max="9218" width="58.140625" style="103" bestFit="1" customWidth="1"/>
    <col min="9219" max="9220" width="11.5703125" style="103"/>
    <col min="9221" max="9221" width="19.42578125" style="103" customWidth="1"/>
    <col min="9222" max="9222" width="11.5703125" style="103"/>
    <col min="9223" max="9223" width="16.5703125" style="103" customWidth="1"/>
    <col min="9224" max="9224" width="16.5703125" style="103" bestFit="1" customWidth="1"/>
    <col min="9225" max="9473" width="11.5703125" style="103"/>
    <col min="9474" max="9474" width="58.140625" style="103" bestFit="1" customWidth="1"/>
    <col min="9475" max="9476" width="11.5703125" style="103"/>
    <col min="9477" max="9477" width="19.42578125" style="103" customWidth="1"/>
    <col min="9478" max="9478" width="11.5703125" style="103"/>
    <col min="9479" max="9479" width="16.5703125" style="103" customWidth="1"/>
    <col min="9480" max="9480" width="16.5703125" style="103" bestFit="1" customWidth="1"/>
    <col min="9481" max="9729" width="11.5703125" style="103"/>
    <col min="9730" max="9730" width="58.140625" style="103" bestFit="1" customWidth="1"/>
    <col min="9731" max="9732" width="11.5703125" style="103"/>
    <col min="9733" max="9733" width="19.42578125" style="103" customWidth="1"/>
    <col min="9734" max="9734" width="11.5703125" style="103"/>
    <col min="9735" max="9735" width="16.5703125" style="103" customWidth="1"/>
    <col min="9736" max="9736" width="16.5703125" style="103" bestFit="1" customWidth="1"/>
    <col min="9737" max="9985" width="11.5703125" style="103"/>
    <col min="9986" max="9986" width="58.140625" style="103" bestFit="1" customWidth="1"/>
    <col min="9987" max="9988" width="11.5703125" style="103"/>
    <col min="9989" max="9989" width="19.42578125" style="103" customWidth="1"/>
    <col min="9990" max="9990" width="11.5703125" style="103"/>
    <col min="9991" max="9991" width="16.5703125" style="103" customWidth="1"/>
    <col min="9992" max="9992" width="16.5703125" style="103" bestFit="1" customWidth="1"/>
    <col min="9993" max="10241" width="11.5703125" style="103"/>
    <col min="10242" max="10242" width="58.140625" style="103" bestFit="1" customWidth="1"/>
    <col min="10243" max="10244" width="11.5703125" style="103"/>
    <col min="10245" max="10245" width="19.42578125" style="103" customWidth="1"/>
    <col min="10246" max="10246" width="11.5703125" style="103"/>
    <col min="10247" max="10247" width="16.5703125" style="103" customWidth="1"/>
    <col min="10248" max="10248" width="16.5703125" style="103" bestFit="1" customWidth="1"/>
    <col min="10249" max="10497" width="11.5703125" style="103"/>
    <col min="10498" max="10498" width="58.140625" style="103" bestFit="1" customWidth="1"/>
    <col min="10499" max="10500" width="11.5703125" style="103"/>
    <col min="10501" max="10501" width="19.42578125" style="103" customWidth="1"/>
    <col min="10502" max="10502" width="11.5703125" style="103"/>
    <col min="10503" max="10503" width="16.5703125" style="103" customWidth="1"/>
    <col min="10504" max="10504" width="16.5703125" style="103" bestFit="1" customWidth="1"/>
    <col min="10505" max="10753" width="11.5703125" style="103"/>
    <col min="10754" max="10754" width="58.140625" style="103" bestFit="1" customWidth="1"/>
    <col min="10755" max="10756" width="11.5703125" style="103"/>
    <col min="10757" max="10757" width="19.42578125" style="103" customWidth="1"/>
    <col min="10758" max="10758" width="11.5703125" style="103"/>
    <col min="10759" max="10759" width="16.5703125" style="103" customWidth="1"/>
    <col min="10760" max="10760" width="16.5703125" style="103" bestFit="1" customWidth="1"/>
    <col min="10761" max="11009" width="11.5703125" style="103"/>
    <col min="11010" max="11010" width="58.140625" style="103" bestFit="1" customWidth="1"/>
    <col min="11011" max="11012" width="11.5703125" style="103"/>
    <col min="11013" max="11013" width="19.42578125" style="103" customWidth="1"/>
    <col min="11014" max="11014" width="11.5703125" style="103"/>
    <col min="11015" max="11015" width="16.5703125" style="103" customWidth="1"/>
    <col min="11016" max="11016" width="16.5703125" style="103" bestFit="1" customWidth="1"/>
    <col min="11017" max="11265" width="11.5703125" style="103"/>
    <col min="11266" max="11266" width="58.140625" style="103" bestFit="1" customWidth="1"/>
    <col min="11267" max="11268" width="11.5703125" style="103"/>
    <col min="11269" max="11269" width="19.42578125" style="103" customWidth="1"/>
    <col min="11270" max="11270" width="11.5703125" style="103"/>
    <col min="11271" max="11271" width="16.5703125" style="103" customWidth="1"/>
    <col min="11272" max="11272" width="16.5703125" style="103" bestFit="1" customWidth="1"/>
    <col min="11273" max="11521" width="11.5703125" style="103"/>
    <col min="11522" max="11522" width="58.140625" style="103" bestFit="1" customWidth="1"/>
    <col min="11523" max="11524" width="11.5703125" style="103"/>
    <col min="11525" max="11525" width="19.42578125" style="103" customWidth="1"/>
    <col min="11526" max="11526" width="11.5703125" style="103"/>
    <col min="11527" max="11527" width="16.5703125" style="103" customWidth="1"/>
    <col min="11528" max="11528" width="16.5703125" style="103" bestFit="1" customWidth="1"/>
    <col min="11529" max="11777" width="11.5703125" style="103"/>
    <col min="11778" max="11778" width="58.140625" style="103" bestFit="1" customWidth="1"/>
    <col min="11779" max="11780" width="11.5703125" style="103"/>
    <col min="11781" max="11781" width="19.42578125" style="103" customWidth="1"/>
    <col min="11782" max="11782" width="11.5703125" style="103"/>
    <col min="11783" max="11783" width="16.5703125" style="103" customWidth="1"/>
    <col min="11784" max="11784" width="16.5703125" style="103" bestFit="1" customWidth="1"/>
    <col min="11785" max="12033" width="11.5703125" style="103"/>
    <col min="12034" max="12034" width="58.140625" style="103" bestFit="1" customWidth="1"/>
    <col min="12035" max="12036" width="11.5703125" style="103"/>
    <col min="12037" max="12037" width="19.42578125" style="103" customWidth="1"/>
    <col min="12038" max="12038" width="11.5703125" style="103"/>
    <col min="12039" max="12039" width="16.5703125" style="103" customWidth="1"/>
    <col min="12040" max="12040" width="16.5703125" style="103" bestFit="1" customWidth="1"/>
    <col min="12041" max="12289" width="11.5703125" style="103"/>
    <col min="12290" max="12290" width="58.140625" style="103" bestFit="1" customWidth="1"/>
    <col min="12291" max="12292" width="11.5703125" style="103"/>
    <col min="12293" max="12293" width="19.42578125" style="103" customWidth="1"/>
    <col min="12294" max="12294" width="11.5703125" style="103"/>
    <col min="12295" max="12295" width="16.5703125" style="103" customWidth="1"/>
    <col min="12296" max="12296" width="16.5703125" style="103" bestFit="1" customWidth="1"/>
    <col min="12297" max="12545" width="11.5703125" style="103"/>
    <col min="12546" max="12546" width="58.140625" style="103" bestFit="1" customWidth="1"/>
    <col min="12547" max="12548" width="11.5703125" style="103"/>
    <col min="12549" max="12549" width="19.42578125" style="103" customWidth="1"/>
    <col min="12550" max="12550" width="11.5703125" style="103"/>
    <col min="12551" max="12551" width="16.5703125" style="103" customWidth="1"/>
    <col min="12552" max="12552" width="16.5703125" style="103" bestFit="1" customWidth="1"/>
    <col min="12553" max="12801" width="11.5703125" style="103"/>
    <col min="12802" max="12802" width="58.140625" style="103" bestFit="1" customWidth="1"/>
    <col min="12803" max="12804" width="11.5703125" style="103"/>
    <col min="12805" max="12805" width="19.42578125" style="103" customWidth="1"/>
    <col min="12806" max="12806" width="11.5703125" style="103"/>
    <col min="12807" max="12807" width="16.5703125" style="103" customWidth="1"/>
    <col min="12808" max="12808" width="16.5703125" style="103" bestFit="1" customWidth="1"/>
    <col min="12809" max="13057" width="11.5703125" style="103"/>
    <col min="13058" max="13058" width="58.140625" style="103" bestFit="1" customWidth="1"/>
    <col min="13059" max="13060" width="11.5703125" style="103"/>
    <col min="13061" max="13061" width="19.42578125" style="103" customWidth="1"/>
    <col min="13062" max="13062" width="11.5703125" style="103"/>
    <col min="13063" max="13063" width="16.5703125" style="103" customWidth="1"/>
    <col min="13064" max="13064" width="16.5703125" style="103" bestFit="1" customWidth="1"/>
    <col min="13065" max="13313" width="11.5703125" style="103"/>
    <col min="13314" max="13314" width="58.140625" style="103" bestFit="1" customWidth="1"/>
    <col min="13315" max="13316" width="11.5703125" style="103"/>
    <col min="13317" max="13317" width="19.42578125" style="103" customWidth="1"/>
    <col min="13318" max="13318" width="11.5703125" style="103"/>
    <col min="13319" max="13319" width="16.5703125" style="103" customWidth="1"/>
    <col min="13320" max="13320" width="16.5703125" style="103" bestFit="1" customWidth="1"/>
    <col min="13321" max="13569" width="11.5703125" style="103"/>
    <col min="13570" max="13570" width="58.140625" style="103" bestFit="1" customWidth="1"/>
    <col min="13571" max="13572" width="11.5703125" style="103"/>
    <col min="13573" max="13573" width="19.42578125" style="103" customWidth="1"/>
    <col min="13574" max="13574" width="11.5703125" style="103"/>
    <col min="13575" max="13575" width="16.5703125" style="103" customWidth="1"/>
    <col min="13576" max="13576" width="16.5703125" style="103" bestFit="1" customWidth="1"/>
    <col min="13577" max="13825" width="11.5703125" style="103"/>
    <col min="13826" max="13826" width="58.140625" style="103" bestFit="1" customWidth="1"/>
    <col min="13827" max="13828" width="11.5703125" style="103"/>
    <col min="13829" max="13829" width="19.42578125" style="103" customWidth="1"/>
    <col min="13830" max="13830" width="11.5703125" style="103"/>
    <col min="13831" max="13831" width="16.5703125" style="103" customWidth="1"/>
    <col min="13832" max="13832" width="16.5703125" style="103" bestFit="1" customWidth="1"/>
    <col min="13833" max="14081" width="11.5703125" style="103"/>
    <col min="14082" max="14082" width="58.140625" style="103" bestFit="1" customWidth="1"/>
    <col min="14083" max="14084" width="11.5703125" style="103"/>
    <col min="14085" max="14085" width="19.42578125" style="103" customWidth="1"/>
    <col min="14086" max="14086" width="11.5703125" style="103"/>
    <col min="14087" max="14087" width="16.5703125" style="103" customWidth="1"/>
    <col min="14088" max="14088" width="16.5703125" style="103" bestFit="1" customWidth="1"/>
    <col min="14089" max="14337" width="11.5703125" style="103"/>
    <col min="14338" max="14338" width="58.140625" style="103" bestFit="1" customWidth="1"/>
    <col min="14339" max="14340" width="11.5703125" style="103"/>
    <col min="14341" max="14341" width="19.42578125" style="103" customWidth="1"/>
    <col min="14342" max="14342" width="11.5703125" style="103"/>
    <col min="14343" max="14343" width="16.5703125" style="103" customWidth="1"/>
    <col min="14344" max="14344" width="16.5703125" style="103" bestFit="1" customWidth="1"/>
    <col min="14345" max="14593" width="11.5703125" style="103"/>
    <col min="14594" max="14594" width="58.140625" style="103" bestFit="1" customWidth="1"/>
    <col min="14595" max="14596" width="11.5703125" style="103"/>
    <col min="14597" max="14597" width="19.42578125" style="103" customWidth="1"/>
    <col min="14598" max="14598" width="11.5703125" style="103"/>
    <col min="14599" max="14599" width="16.5703125" style="103" customWidth="1"/>
    <col min="14600" max="14600" width="16.5703125" style="103" bestFit="1" customWidth="1"/>
    <col min="14601" max="14849" width="11.5703125" style="103"/>
    <col min="14850" max="14850" width="58.140625" style="103" bestFit="1" customWidth="1"/>
    <col min="14851" max="14852" width="11.5703125" style="103"/>
    <col min="14853" max="14853" width="19.42578125" style="103" customWidth="1"/>
    <col min="14854" max="14854" width="11.5703125" style="103"/>
    <col min="14855" max="14855" width="16.5703125" style="103" customWidth="1"/>
    <col min="14856" max="14856" width="16.5703125" style="103" bestFit="1" customWidth="1"/>
    <col min="14857" max="15105" width="11.5703125" style="103"/>
    <col min="15106" max="15106" width="58.140625" style="103" bestFit="1" customWidth="1"/>
    <col min="15107" max="15108" width="11.5703125" style="103"/>
    <col min="15109" max="15109" width="19.42578125" style="103" customWidth="1"/>
    <col min="15110" max="15110" width="11.5703125" style="103"/>
    <col min="15111" max="15111" width="16.5703125" style="103" customWidth="1"/>
    <col min="15112" max="15112" width="16.5703125" style="103" bestFit="1" customWidth="1"/>
    <col min="15113" max="15361" width="11.5703125" style="103"/>
    <col min="15362" max="15362" width="58.140625" style="103" bestFit="1" customWidth="1"/>
    <col min="15363" max="15364" width="11.5703125" style="103"/>
    <col min="15365" max="15365" width="19.42578125" style="103" customWidth="1"/>
    <col min="15366" max="15366" width="11.5703125" style="103"/>
    <col min="15367" max="15367" width="16.5703125" style="103" customWidth="1"/>
    <col min="15368" max="15368" width="16.5703125" style="103" bestFit="1" customWidth="1"/>
    <col min="15369" max="15617" width="11.5703125" style="103"/>
    <col min="15618" max="15618" width="58.140625" style="103" bestFit="1" customWidth="1"/>
    <col min="15619" max="15620" width="11.5703125" style="103"/>
    <col min="15621" max="15621" width="19.42578125" style="103" customWidth="1"/>
    <col min="15622" max="15622" width="11.5703125" style="103"/>
    <col min="15623" max="15623" width="16.5703125" style="103" customWidth="1"/>
    <col min="15624" max="15624" width="16.5703125" style="103" bestFit="1" customWidth="1"/>
    <col min="15625" max="15873" width="11.5703125" style="103"/>
    <col min="15874" max="15874" width="58.140625" style="103" bestFit="1" customWidth="1"/>
    <col min="15875" max="15876" width="11.5703125" style="103"/>
    <col min="15877" max="15877" width="19.42578125" style="103" customWidth="1"/>
    <col min="15878" max="15878" width="11.5703125" style="103"/>
    <col min="15879" max="15879" width="16.5703125" style="103" customWidth="1"/>
    <col min="15880" max="15880" width="16.5703125" style="103" bestFit="1" customWidth="1"/>
    <col min="15881" max="16129" width="11.5703125" style="103"/>
    <col min="16130" max="16130" width="58.140625" style="103" bestFit="1" customWidth="1"/>
    <col min="16131" max="16132" width="11.5703125" style="103"/>
    <col min="16133" max="16133" width="19.42578125" style="103" customWidth="1"/>
    <col min="16134" max="16134" width="11.5703125" style="103"/>
    <col min="16135" max="16135" width="16.5703125" style="103" customWidth="1"/>
    <col min="16136" max="16136" width="16.5703125" style="103" bestFit="1" customWidth="1"/>
    <col min="16137" max="16384" width="11.5703125" style="103"/>
  </cols>
  <sheetData>
    <row r="2" spans="2:7" ht="47.25" x14ac:dyDescent="0.25">
      <c r="B2" s="117" t="s">
        <v>42</v>
      </c>
      <c r="C2" s="117" t="s">
        <v>43</v>
      </c>
      <c r="D2" s="117" t="s">
        <v>44</v>
      </c>
      <c r="E2" s="117" t="s">
        <v>45</v>
      </c>
      <c r="F2" s="117" t="s">
        <v>46</v>
      </c>
      <c r="G2" s="118" t="s">
        <v>47</v>
      </c>
    </row>
    <row r="3" spans="2:7" x14ac:dyDescent="0.2">
      <c r="B3" s="119" t="s">
        <v>48</v>
      </c>
      <c r="C3" s="119"/>
      <c r="D3" s="119"/>
      <c r="E3" s="119"/>
      <c r="F3" s="119"/>
      <c r="G3" s="105"/>
    </row>
    <row r="4" spans="2:7" x14ac:dyDescent="0.2">
      <c r="B4" s="119" t="s">
        <v>49</v>
      </c>
      <c r="C4" s="119"/>
      <c r="D4" s="119"/>
      <c r="E4" s="119"/>
      <c r="F4" s="119"/>
      <c r="G4" s="105"/>
    </row>
    <row r="5" spans="2:7" x14ac:dyDescent="0.2">
      <c r="B5" s="119" t="s">
        <v>50</v>
      </c>
      <c r="C5" s="119"/>
      <c r="D5" s="105"/>
      <c r="E5" s="119"/>
      <c r="F5" s="119"/>
      <c r="G5" s="105">
        <f>+C5*D5*E5*F5</f>
        <v>0</v>
      </c>
    </row>
    <row r="6" spans="2:7" x14ac:dyDescent="0.2">
      <c r="B6" s="120" t="s">
        <v>90</v>
      </c>
      <c r="C6" s="119"/>
      <c r="D6" s="105"/>
      <c r="E6" s="119"/>
      <c r="F6" s="119"/>
      <c r="G6" s="105">
        <f>+D6*C6*F6</f>
        <v>0</v>
      </c>
    </row>
    <row r="7" spans="2:7" x14ac:dyDescent="0.2">
      <c r="B7" s="121" t="s">
        <v>51</v>
      </c>
      <c r="C7" s="119"/>
      <c r="D7" s="105"/>
      <c r="E7" s="119"/>
      <c r="F7" s="119"/>
      <c r="G7" s="105">
        <f>+C7*D7*E7*F7</f>
        <v>0</v>
      </c>
    </row>
    <row r="8" spans="2:7" ht="15.75" x14ac:dyDescent="0.25">
      <c r="B8" s="122" t="s">
        <v>52</v>
      </c>
      <c r="C8" s="119"/>
      <c r="D8" s="119"/>
      <c r="E8" s="119"/>
      <c r="F8" s="119"/>
      <c r="G8" s="105"/>
    </row>
    <row r="9" spans="2:7" x14ac:dyDescent="0.2">
      <c r="B9" s="119" t="s">
        <v>53</v>
      </c>
      <c r="C9" s="119"/>
      <c r="D9" s="119"/>
      <c r="E9" s="119"/>
      <c r="F9" s="119"/>
      <c r="G9" s="123">
        <v>1.65</v>
      </c>
    </row>
    <row r="10" spans="2:7" x14ac:dyDescent="0.2">
      <c r="B10" s="119"/>
      <c r="C10" s="119"/>
      <c r="D10" s="119"/>
      <c r="E10" s="119"/>
      <c r="F10" s="119"/>
      <c r="G10" s="105"/>
    </row>
    <row r="11" spans="2:7" ht="15.75" x14ac:dyDescent="0.25">
      <c r="B11" s="122" t="s">
        <v>54</v>
      </c>
      <c r="C11" s="119"/>
      <c r="D11" s="119"/>
      <c r="E11" s="119"/>
      <c r="F11" s="119"/>
      <c r="G11" s="105">
        <f>+G9*(G5+G7+G6)</f>
        <v>0</v>
      </c>
    </row>
    <row r="12" spans="2:7" x14ac:dyDescent="0.2">
      <c r="B12" s="119"/>
      <c r="C12" s="119"/>
      <c r="D12" s="119"/>
      <c r="E12" s="119"/>
      <c r="F12" s="119"/>
      <c r="G12" s="105"/>
    </row>
    <row r="13" spans="2:7" x14ac:dyDescent="0.2">
      <c r="B13" s="307" t="s">
        <v>55</v>
      </c>
      <c r="C13" s="308"/>
      <c r="D13" s="308"/>
      <c r="E13" s="308"/>
      <c r="F13" s="308"/>
      <c r="G13" s="309"/>
    </row>
    <row r="14" spans="2:7" x14ac:dyDescent="0.2">
      <c r="B14" s="119"/>
      <c r="C14" s="119"/>
      <c r="D14" s="119"/>
      <c r="E14" s="119"/>
      <c r="F14" s="119"/>
      <c r="G14" s="105"/>
    </row>
    <row r="15" spans="2:7" x14ac:dyDescent="0.2">
      <c r="B15" s="119" t="s">
        <v>81</v>
      </c>
      <c r="C15" s="119"/>
      <c r="D15" s="105">
        <v>200000</v>
      </c>
      <c r="E15" s="119"/>
      <c r="F15" s="119">
        <v>2</v>
      </c>
      <c r="G15" s="105">
        <f>D15*F15</f>
        <v>400000</v>
      </c>
    </row>
    <row r="16" spans="2:7" x14ac:dyDescent="0.2">
      <c r="B16" s="120"/>
      <c r="C16" s="119"/>
      <c r="D16" s="105"/>
      <c r="E16" s="119"/>
      <c r="F16" s="119"/>
      <c r="G16" s="105"/>
    </row>
    <row r="17" spans="2:8" x14ac:dyDescent="0.2">
      <c r="B17" s="119" t="s">
        <v>56</v>
      </c>
      <c r="C17" s="119"/>
      <c r="D17" s="105"/>
      <c r="E17" s="119"/>
      <c r="F17" s="119">
        <v>1</v>
      </c>
      <c r="G17" s="105">
        <f>+G15+G11+G16</f>
        <v>400000</v>
      </c>
    </row>
    <row r="18" spans="2:8" x14ac:dyDescent="0.2">
      <c r="B18" s="307"/>
      <c r="C18" s="308"/>
      <c r="D18" s="308"/>
      <c r="E18" s="308"/>
      <c r="F18" s="308"/>
      <c r="G18" s="309"/>
    </row>
    <row r="19" spans="2:8" ht="15.75" x14ac:dyDescent="0.25">
      <c r="B19" s="310" t="s">
        <v>57</v>
      </c>
      <c r="C19" s="311"/>
      <c r="D19" s="311"/>
      <c r="E19" s="311"/>
      <c r="F19" s="311"/>
      <c r="G19" s="312"/>
    </row>
    <row r="20" spans="2:8" x14ac:dyDescent="0.2">
      <c r="B20" s="119" t="s">
        <v>80</v>
      </c>
      <c r="C20" s="119"/>
      <c r="D20" s="119"/>
      <c r="E20" s="119"/>
      <c r="F20" s="119"/>
      <c r="G20" s="105">
        <v>0</v>
      </c>
      <c r="H20" s="104"/>
    </row>
    <row r="21" spans="2:8" x14ac:dyDescent="0.2">
      <c r="B21" s="119" t="s">
        <v>58</v>
      </c>
      <c r="C21" s="119"/>
      <c r="D21" s="119"/>
      <c r="E21" s="119"/>
      <c r="F21" s="119"/>
      <c r="G21" s="105">
        <v>0</v>
      </c>
      <c r="H21" s="104"/>
    </row>
    <row r="22" spans="2:8" x14ac:dyDescent="0.2">
      <c r="B22" s="119" t="s">
        <v>59</v>
      </c>
      <c r="C22" s="119"/>
      <c r="D22" s="119"/>
      <c r="E22" s="119"/>
      <c r="F22" s="119"/>
      <c r="G22" s="105">
        <v>0</v>
      </c>
    </row>
    <row r="23" spans="2:8" x14ac:dyDescent="0.2">
      <c r="B23" s="119" t="s">
        <v>60</v>
      </c>
      <c r="C23" s="119"/>
      <c r="D23" s="119"/>
      <c r="E23" s="119"/>
      <c r="F23" s="119"/>
      <c r="G23" s="105">
        <v>0</v>
      </c>
    </row>
    <row r="24" spans="2:8" x14ac:dyDescent="0.2">
      <c r="B24" s="119" t="s">
        <v>61</v>
      </c>
      <c r="C24" s="119"/>
      <c r="D24" s="119"/>
      <c r="E24" s="119"/>
      <c r="F24" s="119"/>
      <c r="G24" s="105">
        <f ca="1">5%*G37</f>
        <v>2485521.85</v>
      </c>
    </row>
    <row r="25" spans="2:8" x14ac:dyDescent="0.2">
      <c r="B25" s="119" t="s">
        <v>62</v>
      </c>
      <c r="C25" s="119"/>
      <c r="D25" s="119"/>
      <c r="E25" s="119"/>
      <c r="F25" s="119"/>
      <c r="G25" s="105">
        <v>0</v>
      </c>
    </row>
    <row r="26" spans="2:8" x14ac:dyDescent="0.2">
      <c r="B26" s="119" t="s">
        <v>63</v>
      </c>
      <c r="C26" s="119"/>
      <c r="D26" s="119"/>
      <c r="E26" s="119"/>
      <c r="F26" s="119"/>
      <c r="G26" s="105">
        <v>0</v>
      </c>
    </row>
    <row r="27" spans="2:8" x14ac:dyDescent="0.2">
      <c r="B27" s="119" t="s">
        <v>64</v>
      </c>
      <c r="C27" s="119"/>
      <c r="D27" s="119"/>
      <c r="E27" s="119"/>
      <c r="F27" s="119"/>
      <c r="G27" s="105">
        <f ca="1">H61</f>
        <v>1436953.8962940001</v>
      </c>
    </row>
    <row r="28" spans="2:8" x14ac:dyDescent="0.2">
      <c r="B28" s="307"/>
      <c r="C28" s="308"/>
      <c r="D28" s="308"/>
      <c r="E28" s="308"/>
      <c r="F28" s="308"/>
      <c r="G28" s="309"/>
    </row>
    <row r="29" spans="2:8" ht="15.75" x14ac:dyDescent="0.25">
      <c r="B29" s="122" t="s">
        <v>65</v>
      </c>
      <c r="C29" s="119"/>
      <c r="D29" s="119"/>
      <c r="E29" s="119"/>
      <c r="F29" s="119"/>
      <c r="G29" s="124">
        <f ca="1">+SUM(G20:G27)</f>
        <v>3922475.7462940002</v>
      </c>
    </row>
    <row r="30" spans="2:8" ht="15.75" x14ac:dyDescent="0.25">
      <c r="B30" s="122" t="s">
        <v>66</v>
      </c>
      <c r="C30" s="119"/>
      <c r="D30" s="119"/>
      <c r="E30" s="119"/>
      <c r="F30" s="119"/>
      <c r="G30" s="124">
        <f ca="1">+G29+G17</f>
        <v>4322475.7462940002</v>
      </c>
    </row>
    <row r="31" spans="2:8" ht="15.75" x14ac:dyDescent="0.25">
      <c r="B31" s="122" t="s">
        <v>67</v>
      </c>
      <c r="C31" s="119"/>
      <c r="D31" s="119"/>
      <c r="E31" s="119"/>
      <c r="F31" s="119"/>
      <c r="G31" s="125">
        <f>'SAN ANTONIO '!O20</f>
        <v>45191306</v>
      </c>
    </row>
    <row r="32" spans="2:8" x14ac:dyDescent="0.2">
      <c r="B32" s="307"/>
      <c r="C32" s="308"/>
      <c r="D32" s="308"/>
      <c r="E32" s="308"/>
      <c r="F32" s="308"/>
      <c r="G32" s="309"/>
    </row>
    <row r="33" spans="2:8" ht="15.75" x14ac:dyDescent="0.25">
      <c r="B33" s="306" t="s">
        <v>72</v>
      </c>
      <c r="C33" s="306"/>
      <c r="D33" s="119"/>
      <c r="E33" s="119"/>
      <c r="F33" s="119"/>
      <c r="G33" s="208">
        <f>'SAN ANTONIO '!O20</f>
        <v>45191306</v>
      </c>
    </row>
    <row r="34" spans="2:8" ht="15.75" x14ac:dyDescent="0.25">
      <c r="B34" s="306" t="s">
        <v>68</v>
      </c>
      <c r="C34" s="306"/>
      <c r="D34" s="119"/>
      <c r="E34" s="119"/>
      <c r="F34" s="126">
        <f ca="1">ROUNDUP(G30/G33,2)</f>
        <v>9.9999999999999992E-2</v>
      </c>
      <c r="G34" s="207">
        <f ca="1">ROUNDUP(+G33*F34,0)</f>
        <v>4519131</v>
      </c>
    </row>
    <row r="35" spans="2:8" ht="15.75" x14ac:dyDescent="0.25">
      <c r="B35" s="306" t="s">
        <v>69</v>
      </c>
      <c r="C35" s="306"/>
      <c r="D35" s="119"/>
      <c r="E35" s="119"/>
      <c r="F35" s="126">
        <v>0</v>
      </c>
      <c r="G35" s="129">
        <f>+G33*F35</f>
        <v>0</v>
      </c>
    </row>
    <row r="36" spans="2:8" ht="15.75" x14ac:dyDescent="0.25">
      <c r="B36" s="306" t="s">
        <v>70</v>
      </c>
      <c r="C36" s="306"/>
      <c r="D36" s="119"/>
      <c r="E36" s="119"/>
      <c r="F36" s="126">
        <f ca="1">+F34+F35</f>
        <v>9.9999999999999992E-2</v>
      </c>
      <c r="G36" s="207">
        <f ca="1">+G34+G35</f>
        <v>4519131</v>
      </c>
    </row>
    <row r="37" spans="2:8" ht="15.75" x14ac:dyDescent="0.25">
      <c r="B37" s="306" t="s">
        <v>71</v>
      </c>
      <c r="C37" s="306"/>
      <c r="D37" s="119"/>
      <c r="E37" s="119"/>
      <c r="F37" s="119"/>
      <c r="G37" s="208">
        <f ca="1">G33+G36</f>
        <v>49710437</v>
      </c>
    </row>
    <row r="39" spans="2:8" ht="15.75" x14ac:dyDescent="0.25">
      <c r="E39" s="127"/>
      <c r="G39" s="128"/>
    </row>
    <row r="40" spans="2:8" x14ac:dyDescent="0.2">
      <c r="F40" s="104"/>
      <c r="G40" s="104"/>
    </row>
    <row r="43" spans="2:8" x14ac:dyDescent="0.2">
      <c r="G43" s="104"/>
    </row>
    <row r="44" spans="2:8" x14ac:dyDescent="0.2">
      <c r="B44" s="313" t="s">
        <v>91</v>
      </c>
      <c r="C44" s="314"/>
      <c r="D44" s="314"/>
      <c r="E44" s="314"/>
      <c r="F44" s="314"/>
      <c r="G44" s="314"/>
      <c r="H44" s="315"/>
    </row>
    <row r="45" spans="2:8" x14ac:dyDescent="0.2">
      <c r="B45" s="148"/>
      <c r="C45" s="148"/>
      <c r="D45" s="148"/>
      <c r="E45" s="148"/>
      <c r="F45" s="149"/>
      <c r="G45" s="149"/>
      <c r="H45" s="150"/>
    </row>
    <row r="46" spans="2:8" x14ac:dyDescent="0.2">
      <c r="B46" s="151" t="s">
        <v>92</v>
      </c>
      <c r="C46" s="152">
        <f ca="1">G37</f>
        <v>49710437</v>
      </c>
      <c r="D46" s="303"/>
      <c r="E46" s="304"/>
      <c r="F46" s="149"/>
      <c r="G46" s="149"/>
      <c r="H46" s="150"/>
    </row>
    <row r="47" spans="2:8" ht="15" hidden="1" x14ac:dyDescent="0.2">
      <c r="B47" s="151" t="s">
        <v>182</v>
      </c>
      <c r="C47" s="153">
        <v>2</v>
      </c>
      <c r="D47" s="305">
        <f>+IFERROR(C47*30,"")</f>
        <v>60</v>
      </c>
      <c r="E47" s="305"/>
      <c r="F47" s="149"/>
      <c r="G47" s="149"/>
      <c r="H47" s="150"/>
    </row>
    <row r="48" spans="2:8" x14ac:dyDescent="0.2">
      <c r="B48" s="151" t="s">
        <v>93</v>
      </c>
      <c r="C48" s="154">
        <v>0</v>
      </c>
      <c r="D48" s="316">
        <f ca="1">+IFERROR(C48*C46,"")</f>
        <v>0</v>
      </c>
      <c r="E48" s="316"/>
      <c r="F48" s="149"/>
      <c r="G48" s="149"/>
      <c r="H48" s="150"/>
    </row>
    <row r="49" spans="2:8" x14ac:dyDescent="0.2">
      <c r="B49" s="155"/>
      <c r="C49" s="156"/>
      <c r="D49" s="156"/>
      <c r="E49" s="148"/>
      <c r="F49" s="149"/>
      <c r="G49" s="149"/>
      <c r="H49" s="150"/>
    </row>
    <row r="50" spans="2:8" x14ac:dyDescent="0.2">
      <c r="B50" s="317" t="s">
        <v>94</v>
      </c>
      <c r="C50" s="317" t="s">
        <v>95</v>
      </c>
      <c r="D50" s="317"/>
      <c r="E50" s="317"/>
      <c r="F50" s="317" t="s">
        <v>96</v>
      </c>
      <c r="G50" s="317" t="s">
        <v>97</v>
      </c>
      <c r="H50" s="320" t="s">
        <v>98</v>
      </c>
    </row>
    <row r="51" spans="2:8" x14ac:dyDescent="0.2">
      <c r="B51" s="317"/>
      <c r="C51" s="157" t="s">
        <v>99</v>
      </c>
      <c r="D51" s="157" t="s">
        <v>100</v>
      </c>
      <c r="E51" s="157" t="s">
        <v>101</v>
      </c>
      <c r="F51" s="318"/>
      <c r="G51" s="317"/>
      <c r="H51" s="320"/>
    </row>
    <row r="52" spans="2:8" x14ac:dyDescent="0.2">
      <c r="B52" s="158" t="s">
        <v>102</v>
      </c>
      <c r="C52" s="159">
        <v>0.2</v>
      </c>
      <c r="D52" s="152">
        <f ca="1">$C$46</f>
        <v>49710437</v>
      </c>
      <c r="E52" s="152">
        <f ca="1">+IFERROR(C52*D52,"")</f>
        <v>9942087.4000000004</v>
      </c>
      <c r="F52" s="160">
        <f>+IFERROR($C$4+180,"")</f>
        <v>180</v>
      </c>
      <c r="G52" s="161">
        <v>7.0000000000000001E-3</v>
      </c>
      <c r="H52" s="162">
        <f ca="1">+IFERROR(G52*E52*F52/360,"")</f>
        <v>34797.305899999999</v>
      </c>
    </row>
    <row r="53" spans="2:8" x14ac:dyDescent="0.2">
      <c r="B53" s="158" t="s">
        <v>103</v>
      </c>
      <c r="C53" s="159">
        <v>0</v>
      </c>
      <c r="D53" s="152">
        <f t="shared" ref="D53:D55" ca="1" si="0">$C$46</f>
        <v>49710437</v>
      </c>
      <c r="E53" s="152">
        <f ca="1">+IFERROR(C53*D53,"")</f>
        <v>0</v>
      </c>
      <c r="F53" s="160">
        <f>+IFERROR($C$4+180,"")</f>
        <v>180</v>
      </c>
      <c r="G53" s="161">
        <v>7.0000000000000001E-3</v>
      </c>
      <c r="H53" s="162">
        <f ca="1">+IFERROR(G53*E53*F53/360,"")</f>
        <v>0</v>
      </c>
    </row>
    <row r="54" spans="2:8" x14ac:dyDescent="0.2">
      <c r="B54" s="158" t="s">
        <v>104</v>
      </c>
      <c r="C54" s="159">
        <v>0.1</v>
      </c>
      <c r="D54" s="152">
        <f t="shared" ca="1" si="0"/>
        <v>49710437</v>
      </c>
      <c r="E54" s="152">
        <f ca="1">+IFERROR(C54*D54,"")</f>
        <v>4971043.7</v>
      </c>
      <c r="F54" s="160">
        <f>+IFERROR($C$4+1080,"")</f>
        <v>1080</v>
      </c>
      <c r="G54" s="161">
        <v>7.0000000000000001E-3</v>
      </c>
      <c r="H54" s="162">
        <f ca="1">+IFERROR(G54*E54*F54/360,"")</f>
        <v>104391.91770000001</v>
      </c>
    </row>
    <row r="55" spans="2:8" x14ac:dyDescent="0.2">
      <c r="B55" s="158" t="s">
        <v>105</v>
      </c>
      <c r="C55" s="159">
        <v>0.2</v>
      </c>
      <c r="D55" s="152">
        <f t="shared" ca="1" si="0"/>
        <v>49710437</v>
      </c>
      <c r="E55" s="152">
        <f ca="1">+IFERROR(C55*D55,"")</f>
        <v>9942087.4000000004</v>
      </c>
      <c r="F55" s="160">
        <f>+IF($B$3="","",1800)</f>
        <v>1800</v>
      </c>
      <c r="G55" s="161">
        <v>7.0000000000000001E-3</v>
      </c>
      <c r="H55" s="162">
        <f ca="1">+IFERROR(G55*E55*F55/360,"")</f>
        <v>347973.05900000001</v>
      </c>
    </row>
    <row r="56" spans="2:8" x14ac:dyDescent="0.2">
      <c r="B56" s="158" t="s">
        <v>106</v>
      </c>
      <c r="C56" s="157" t="s">
        <v>107</v>
      </c>
      <c r="D56" s="321" t="s">
        <v>108</v>
      </c>
      <c r="E56" s="322"/>
      <c r="F56" s="163" t="s">
        <v>109</v>
      </c>
      <c r="G56" s="157" t="s">
        <v>110</v>
      </c>
      <c r="H56" s="164" t="s">
        <v>98</v>
      </c>
    </row>
    <row r="57" spans="2:8" x14ac:dyDescent="0.2">
      <c r="B57" s="157">
        <v>200</v>
      </c>
      <c r="C57" s="165">
        <v>1750905</v>
      </c>
      <c r="D57" s="323">
        <f>+IFERROR(IF(D46&gt;10000,D46+5%,B57*C57),"")</f>
        <v>350181000</v>
      </c>
      <c r="E57" s="324"/>
      <c r="F57" s="166">
        <f>C47</f>
        <v>2</v>
      </c>
      <c r="G57" s="167">
        <v>1.2E-2</v>
      </c>
      <c r="H57" s="162">
        <f>D57*F57*G57/12</f>
        <v>700362</v>
      </c>
    </row>
    <row r="58" spans="2:8" x14ac:dyDescent="0.2">
      <c r="B58" s="319" t="s">
        <v>111</v>
      </c>
      <c r="C58" s="319"/>
      <c r="D58" s="319"/>
      <c r="E58" s="319"/>
      <c r="F58" s="319"/>
      <c r="G58" s="319"/>
      <c r="H58" s="162">
        <f ca="1">SUM(H52:H55)+H57</f>
        <v>1187524.2826</v>
      </c>
    </row>
    <row r="59" spans="2:8" x14ac:dyDescent="0.2">
      <c r="B59" s="319" t="s">
        <v>112</v>
      </c>
      <c r="C59" s="319"/>
      <c r="D59" s="319"/>
      <c r="E59" s="319"/>
      <c r="F59" s="319"/>
      <c r="G59" s="319"/>
      <c r="H59" s="162">
        <f ca="1">+IF(H58="","",20000)</f>
        <v>20000</v>
      </c>
    </row>
    <row r="60" spans="2:8" x14ac:dyDescent="0.2">
      <c r="B60" s="319" t="s">
        <v>113</v>
      </c>
      <c r="C60" s="319"/>
      <c r="D60" s="319"/>
      <c r="E60" s="319"/>
      <c r="F60" s="319"/>
      <c r="G60" s="319"/>
      <c r="H60" s="162">
        <f ca="1">+IFERROR((H58+H59)*0.19,"")</f>
        <v>229429.613694</v>
      </c>
    </row>
    <row r="61" spans="2:8" x14ac:dyDescent="0.2">
      <c r="B61" s="319" t="s">
        <v>114</v>
      </c>
      <c r="C61" s="319"/>
      <c r="D61" s="319"/>
      <c r="E61" s="319"/>
      <c r="F61" s="319"/>
      <c r="G61" s="319"/>
      <c r="H61" s="168">
        <f ca="1">IF(H58="","",SUM(H58:H60))</f>
        <v>1436953.8962940001</v>
      </c>
    </row>
  </sheetData>
  <protectedRanges>
    <protectedRange sqref="C48 C52:C55" name="Rango1_1"/>
  </protectedRanges>
  <mergeCells count="25">
    <mergeCell ref="B60:G60"/>
    <mergeCell ref="B61:G61"/>
    <mergeCell ref="H50:H51"/>
    <mergeCell ref="D56:E56"/>
    <mergeCell ref="D57:E57"/>
    <mergeCell ref="B58:G58"/>
    <mergeCell ref="B59:G59"/>
    <mergeCell ref="D48:E48"/>
    <mergeCell ref="B50:B51"/>
    <mergeCell ref="C50:E50"/>
    <mergeCell ref="F50:F51"/>
    <mergeCell ref="G50:G51"/>
    <mergeCell ref="D46:E46"/>
    <mergeCell ref="D47:E47"/>
    <mergeCell ref="B33:C33"/>
    <mergeCell ref="B13:G13"/>
    <mergeCell ref="B18:G18"/>
    <mergeCell ref="B19:G19"/>
    <mergeCell ref="B28:G28"/>
    <mergeCell ref="B32:G32"/>
    <mergeCell ref="B34:C34"/>
    <mergeCell ref="B35:C35"/>
    <mergeCell ref="B36:C36"/>
    <mergeCell ref="B37:C37"/>
    <mergeCell ref="B44:H4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9F722-90F5-424D-8983-0BE81377B12D}">
  <dimension ref="A1:Q39"/>
  <sheetViews>
    <sheetView topLeftCell="A64" workbookViewId="0">
      <selection activeCell="E104" sqref="E104"/>
    </sheetView>
  </sheetViews>
  <sheetFormatPr baseColWidth="10" defaultRowHeight="12.75" x14ac:dyDescent="0.2"/>
  <cols>
    <col min="7" max="7" width="17.5703125" customWidth="1"/>
    <col min="10" max="10" width="19" customWidth="1"/>
    <col min="11" max="11" width="15" customWidth="1"/>
    <col min="14" max="14" width="13.28515625" customWidth="1"/>
    <col min="15" max="15" width="14.85546875" customWidth="1"/>
    <col min="16" max="16" width="11.42578125" customWidth="1"/>
  </cols>
  <sheetData>
    <row r="1" spans="1:16" s="99" customFormat="1" x14ac:dyDescent="0.2"/>
    <row r="2" spans="1:16" s="99" customFormat="1" x14ac:dyDescent="0.2">
      <c r="A2" s="101"/>
      <c r="C2" s="101"/>
    </row>
    <row r="4" spans="1:16" x14ac:dyDescent="0.2">
      <c r="A4" s="1" t="s">
        <v>0</v>
      </c>
      <c r="B4" s="327" t="s">
        <v>1</v>
      </c>
      <c r="C4" s="328"/>
      <c r="D4" s="328"/>
      <c r="E4" s="328"/>
      <c r="F4" s="328"/>
      <c r="G4" s="329"/>
      <c r="H4" s="130" t="s">
        <v>37</v>
      </c>
      <c r="I4" s="130" t="s">
        <v>38</v>
      </c>
      <c r="J4" s="130" t="s">
        <v>79</v>
      </c>
      <c r="K4" s="130" t="s">
        <v>39</v>
      </c>
      <c r="L4" s="131" t="s">
        <v>138</v>
      </c>
    </row>
    <row r="5" spans="1:16" ht="77.25" customHeight="1" x14ac:dyDescent="0.2">
      <c r="A5" s="2">
        <v>1</v>
      </c>
      <c r="B5" s="330" t="s">
        <v>137</v>
      </c>
      <c r="C5" s="331"/>
      <c r="D5" s="331"/>
      <c r="E5" s="331"/>
      <c r="F5" s="331"/>
      <c r="G5" s="331"/>
      <c r="H5" s="132"/>
      <c r="I5" s="132"/>
      <c r="J5" s="132"/>
      <c r="K5" s="132"/>
      <c r="L5" s="132">
        <f>(3.3*9*0.4)+ (0.3*3*9)</f>
        <v>19.98</v>
      </c>
      <c r="P5" s="101" t="s">
        <v>168</v>
      </c>
    </row>
    <row r="9" spans="1:16" x14ac:dyDescent="0.2">
      <c r="A9" s="1" t="s">
        <v>0</v>
      </c>
      <c r="B9" s="327" t="s">
        <v>1</v>
      </c>
      <c r="C9" s="328"/>
      <c r="D9" s="328"/>
      <c r="E9" s="328"/>
      <c r="F9" s="328"/>
      <c r="G9" s="329"/>
      <c r="H9" s="130" t="s">
        <v>37</v>
      </c>
      <c r="I9" s="130" t="s">
        <v>38</v>
      </c>
      <c r="J9" s="130" t="s">
        <v>74</v>
      </c>
      <c r="K9" s="130" t="s">
        <v>73</v>
      </c>
    </row>
    <row r="10" spans="1:16" s="179" customFormat="1" ht="74.25" customHeight="1" x14ac:dyDescent="0.2">
      <c r="A10" s="177">
        <v>2</v>
      </c>
      <c r="B10" s="330" t="s">
        <v>135</v>
      </c>
      <c r="C10" s="331"/>
      <c r="D10" s="331"/>
      <c r="E10" s="331"/>
      <c r="F10" s="331"/>
      <c r="G10" s="331"/>
      <c r="H10" s="178">
        <v>3</v>
      </c>
      <c r="I10" s="178">
        <v>9</v>
      </c>
      <c r="J10" s="178">
        <v>0.3</v>
      </c>
      <c r="K10" s="178">
        <f>H10*I10*J10</f>
        <v>8.1</v>
      </c>
    </row>
    <row r="11" spans="1:16" s="179" customFormat="1" x14ac:dyDescent="0.2"/>
    <row r="12" spans="1:16" s="179" customFormat="1" x14ac:dyDescent="0.2"/>
    <row r="15" spans="1:16" x14ac:dyDescent="0.2">
      <c r="A15" s="133" t="s">
        <v>0</v>
      </c>
      <c r="B15" s="325" t="s">
        <v>1</v>
      </c>
      <c r="C15" s="326"/>
      <c r="D15" s="326"/>
      <c r="E15" s="326"/>
      <c r="F15" s="326"/>
      <c r="G15" s="326"/>
      <c r="H15" s="130" t="s">
        <v>37</v>
      </c>
      <c r="I15" s="130" t="s">
        <v>38</v>
      </c>
      <c r="J15" s="130" t="s">
        <v>74</v>
      </c>
      <c r="K15" s="131" t="s">
        <v>142</v>
      </c>
      <c r="L15" s="130" t="s">
        <v>37</v>
      </c>
      <c r="M15" s="130" t="s">
        <v>38</v>
      </c>
      <c r="N15" s="130" t="s">
        <v>74</v>
      </c>
      <c r="O15" s="131" t="s">
        <v>143</v>
      </c>
    </row>
    <row r="16" spans="1:16" ht="102.75" customHeight="1" x14ac:dyDescent="0.2">
      <c r="A16" s="134">
        <v>3</v>
      </c>
      <c r="B16" s="257" t="s">
        <v>139</v>
      </c>
      <c r="C16" s="257"/>
      <c r="D16" s="257"/>
      <c r="E16" s="257"/>
      <c r="F16" s="257"/>
      <c r="G16" s="257"/>
      <c r="H16" s="132">
        <v>3.3</v>
      </c>
      <c r="I16" s="132">
        <v>9</v>
      </c>
      <c r="J16" s="132">
        <v>0.4</v>
      </c>
      <c r="K16" s="132">
        <f>H16*J16*I16</f>
        <v>11.88</v>
      </c>
      <c r="L16" s="130">
        <f>(5/2)</f>
        <v>2.5</v>
      </c>
      <c r="M16" s="132">
        <v>10</v>
      </c>
      <c r="N16" s="132">
        <v>0.4</v>
      </c>
      <c r="O16" s="132">
        <f>L16*M16*N16</f>
        <v>10</v>
      </c>
      <c r="P16">
        <f>K16+O16</f>
        <v>21.880000000000003</v>
      </c>
    </row>
    <row r="19" spans="1:17" x14ac:dyDescent="0.2">
      <c r="A19" s="133" t="s">
        <v>0</v>
      </c>
      <c r="B19" s="325" t="s">
        <v>1</v>
      </c>
      <c r="C19" s="326"/>
      <c r="D19" s="326"/>
      <c r="E19" s="326"/>
      <c r="F19" s="326"/>
      <c r="G19" s="326"/>
      <c r="H19" s="130" t="s">
        <v>37</v>
      </c>
      <c r="I19" s="130" t="s">
        <v>38</v>
      </c>
      <c r="J19" s="130" t="s">
        <v>39</v>
      </c>
      <c r="K19" s="131" t="s">
        <v>147</v>
      </c>
      <c r="L19" s="131" t="s">
        <v>148</v>
      </c>
    </row>
    <row r="20" spans="1:17" ht="90.75" customHeight="1" x14ac:dyDescent="0.2">
      <c r="A20" s="134">
        <v>4</v>
      </c>
      <c r="B20" s="257" t="s">
        <v>144</v>
      </c>
      <c r="C20" s="257"/>
      <c r="D20" s="257"/>
      <c r="E20" s="257"/>
      <c r="F20" s="257"/>
      <c r="G20" s="257"/>
      <c r="H20" s="132"/>
      <c r="I20" s="135"/>
      <c r="J20" s="132"/>
      <c r="K20" s="132">
        <v>234</v>
      </c>
      <c r="L20" s="132">
        <f>(K20/2)*10</f>
        <v>1170</v>
      </c>
      <c r="Q20" s="181"/>
    </row>
    <row r="23" spans="1:17" x14ac:dyDescent="0.2">
      <c r="I23" s="99"/>
    </row>
    <row r="24" spans="1:17" x14ac:dyDescent="0.2">
      <c r="A24" s="139" t="s">
        <v>0</v>
      </c>
      <c r="B24" s="325" t="s">
        <v>1</v>
      </c>
      <c r="C24" s="326"/>
      <c r="D24" s="326"/>
      <c r="E24" s="326"/>
      <c r="F24" s="326"/>
      <c r="G24" s="326"/>
      <c r="H24" s="130" t="s">
        <v>37</v>
      </c>
      <c r="I24" s="130" t="s">
        <v>38</v>
      </c>
      <c r="J24" s="130" t="s">
        <v>39</v>
      </c>
      <c r="K24" s="131" t="s">
        <v>83</v>
      </c>
      <c r="L24" s="131" t="s">
        <v>84</v>
      </c>
    </row>
    <row r="25" spans="1:17" ht="49.5" customHeight="1" x14ac:dyDescent="0.2">
      <c r="A25" s="134">
        <v>5</v>
      </c>
      <c r="B25" s="266" t="s">
        <v>149</v>
      </c>
      <c r="C25" s="266"/>
      <c r="D25" s="266"/>
      <c r="E25" s="266"/>
      <c r="F25" s="266"/>
      <c r="G25" s="266"/>
      <c r="H25" s="132">
        <v>2.5</v>
      </c>
      <c r="I25" s="135">
        <v>9</v>
      </c>
      <c r="J25" s="132">
        <f>H25*I25/2</f>
        <v>11.25</v>
      </c>
      <c r="K25" s="132">
        <v>1</v>
      </c>
      <c r="L25" s="132">
        <f>J25*K25</f>
        <v>11.25</v>
      </c>
    </row>
    <row r="29" spans="1:17" x14ac:dyDescent="0.2">
      <c r="A29" s="139" t="s">
        <v>0</v>
      </c>
      <c r="B29" s="325" t="s">
        <v>1</v>
      </c>
      <c r="C29" s="326"/>
      <c r="D29" s="326"/>
      <c r="E29" s="326"/>
      <c r="F29" s="326"/>
      <c r="G29" s="326"/>
      <c r="H29" s="130" t="s">
        <v>37</v>
      </c>
      <c r="I29" s="130" t="s">
        <v>38</v>
      </c>
      <c r="J29" s="130" t="s">
        <v>39</v>
      </c>
      <c r="K29" s="131" t="s">
        <v>83</v>
      </c>
      <c r="L29" s="131" t="s">
        <v>84</v>
      </c>
    </row>
    <row r="30" spans="1:17" ht="54.75" customHeight="1" x14ac:dyDescent="0.2">
      <c r="A30" s="134">
        <v>6</v>
      </c>
      <c r="B30" s="266" t="s">
        <v>161</v>
      </c>
      <c r="C30" s="266"/>
      <c r="D30" s="266"/>
      <c r="E30" s="266"/>
      <c r="F30" s="266"/>
      <c r="G30" s="266"/>
      <c r="H30" s="132">
        <v>2</v>
      </c>
      <c r="I30" s="135">
        <v>3</v>
      </c>
      <c r="J30" s="132">
        <f>H30*I30</f>
        <v>6</v>
      </c>
      <c r="K30" s="132">
        <v>10</v>
      </c>
      <c r="L30" s="135">
        <f>J30*K30</f>
        <v>60</v>
      </c>
      <c r="O30" s="101" t="s">
        <v>169</v>
      </c>
    </row>
    <row r="34" spans="1:12" x14ac:dyDescent="0.2">
      <c r="A34" s="139" t="s">
        <v>0</v>
      </c>
      <c r="B34" s="325" t="s">
        <v>1</v>
      </c>
      <c r="C34" s="326"/>
      <c r="D34" s="326"/>
      <c r="E34" s="326"/>
      <c r="F34" s="326"/>
      <c r="G34" s="326"/>
      <c r="H34" s="130" t="s">
        <v>37</v>
      </c>
      <c r="I34" s="130" t="s">
        <v>38</v>
      </c>
      <c r="J34" s="130" t="s">
        <v>163</v>
      </c>
      <c r="K34" s="131" t="s">
        <v>83</v>
      </c>
      <c r="L34" s="131" t="s">
        <v>164</v>
      </c>
    </row>
    <row r="35" spans="1:12" ht="41.25" customHeight="1" x14ac:dyDescent="0.2">
      <c r="A35" s="134">
        <v>7</v>
      </c>
      <c r="B35" s="266" t="s">
        <v>162</v>
      </c>
      <c r="C35" s="266"/>
      <c r="D35" s="266"/>
      <c r="E35" s="266"/>
      <c r="F35" s="266"/>
      <c r="G35" s="266"/>
      <c r="H35" s="132">
        <v>2</v>
      </c>
      <c r="I35" s="135">
        <v>3</v>
      </c>
      <c r="J35" s="132">
        <v>0.15</v>
      </c>
      <c r="K35" s="132">
        <v>10</v>
      </c>
      <c r="L35" s="135">
        <f>H35*I35*J35*K35</f>
        <v>9</v>
      </c>
    </row>
    <row r="38" spans="1:12" x14ac:dyDescent="0.2">
      <c r="A38" s="139" t="s">
        <v>0</v>
      </c>
      <c r="B38" s="325" t="s">
        <v>1</v>
      </c>
      <c r="C38" s="326"/>
      <c r="D38" s="326"/>
      <c r="E38" s="326"/>
      <c r="F38" s="326"/>
      <c r="G38" s="326"/>
      <c r="H38" s="130" t="s">
        <v>37</v>
      </c>
      <c r="I38" s="130" t="s">
        <v>38</v>
      </c>
      <c r="J38" s="130" t="s">
        <v>165</v>
      </c>
      <c r="K38" s="131" t="s">
        <v>83</v>
      </c>
      <c r="L38" s="131" t="s">
        <v>84</v>
      </c>
    </row>
    <row r="39" spans="1:12" ht="79.5" customHeight="1" x14ac:dyDescent="0.2">
      <c r="A39" s="182">
        <v>8</v>
      </c>
      <c r="B39" s="257" t="str">
        <f>'SAN ANTONIO '!$B$14:$G$14</f>
        <v>Suministro, transporte e instalación de ACERO DE REFUERZO FIGURADO Fy= 420 MPa-60000 PSI, corrugado. Incluye transporte con descarga, transporte interno, alambre de amarre, certificados y todos los elementos necesarios para su correcta instalación, según diseño y recomendaciones estructurales.</v>
      </c>
      <c r="C39" s="257"/>
      <c r="D39" s="257"/>
      <c r="E39" s="257"/>
      <c r="F39" s="257"/>
      <c r="G39" s="257"/>
      <c r="H39" s="132"/>
      <c r="I39" s="135">
        <v>0.5</v>
      </c>
      <c r="J39" s="132">
        <v>0.996</v>
      </c>
      <c r="K39" s="132">
        <f>(3*10)/0.2</f>
        <v>150</v>
      </c>
      <c r="L39" s="135">
        <f>J39*K39*I39</f>
        <v>74.7</v>
      </c>
    </row>
  </sheetData>
  <mergeCells count="16">
    <mergeCell ref="B35:G35"/>
    <mergeCell ref="B38:G38"/>
    <mergeCell ref="B39:G39"/>
    <mergeCell ref="B24:G24"/>
    <mergeCell ref="B25:G25"/>
    <mergeCell ref="B29:G29"/>
    <mergeCell ref="B30:G30"/>
    <mergeCell ref="B34:G34"/>
    <mergeCell ref="B20:G20"/>
    <mergeCell ref="B16:G16"/>
    <mergeCell ref="B19:G19"/>
    <mergeCell ref="B4:G4"/>
    <mergeCell ref="B5:G5"/>
    <mergeCell ref="B9:G9"/>
    <mergeCell ref="B10:G10"/>
    <mergeCell ref="B15:G1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058B7-E2EC-45ED-B395-E00F5AD6FDDD}">
  <dimension ref="A1:V355"/>
  <sheetViews>
    <sheetView topLeftCell="A142" zoomScaleNormal="100" workbookViewId="0">
      <selection activeCell="I169" sqref="I169"/>
    </sheetView>
  </sheetViews>
  <sheetFormatPr baseColWidth="10" defaultColWidth="11.42578125" defaultRowHeight="12.75" x14ac:dyDescent="0.2"/>
  <cols>
    <col min="1" max="4" width="11.42578125" style="3"/>
    <col min="5" max="5" width="11.7109375" style="3" bestFit="1" customWidth="1"/>
    <col min="6" max="6" width="11.42578125" style="3"/>
    <col min="7" max="7" width="14.140625" style="3" customWidth="1"/>
    <col min="8" max="8" width="12.42578125" style="3" bestFit="1" customWidth="1"/>
    <col min="9" max="9" width="15.42578125" style="3" bestFit="1" customWidth="1"/>
    <col min="10" max="16384" width="11.42578125" style="3"/>
  </cols>
  <sheetData>
    <row r="1" spans="1:8" x14ac:dyDescent="0.2">
      <c r="A1" s="4"/>
      <c r="B1" s="5"/>
      <c r="C1" s="6"/>
      <c r="D1" s="339" t="s">
        <v>6</v>
      </c>
      <c r="E1" s="340"/>
      <c r="F1" s="340"/>
      <c r="G1" s="340"/>
      <c r="H1" s="341"/>
    </row>
    <row r="2" spans="1:8" x14ac:dyDescent="0.2">
      <c r="A2" s="7"/>
      <c r="B2" s="8"/>
      <c r="C2" s="9"/>
      <c r="D2" s="342"/>
      <c r="E2" s="343"/>
      <c r="F2" s="343"/>
      <c r="G2" s="343"/>
      <c r="H2" s="344"/>
    </row>
    <row r="3" spans="1:8" ht="37.5" customHeight="1" thickBot="1" x14ac:dyDescent="0.25">
      <c r="A3" s="13"/>
      <c r="B3" s="14"/>
      <c r="C3" s="15"/>
      <c r="D3" s="345"/>
      <c r="E3" s="346"/>
      <c r="F3" s="346"/>
      <c r="G3" s="346"/>
      <c r="H3" s="347"/>
    </row>
    <row r="4" spans="1:8" x14ac:dyDescent="0.2">
      <c r="A4" s="348" t="s">
        <v>31</v>
      </c>
      <c r="B4" s="366" t="s">
        <v>137</v>
      </c>
      <c r="C4" s="367"/>
      <c r="D4" s="367"/>
      <c r="E4" s="367"/>
      <c r="F4" s="368"/>
      <c r="G4" s="348" t="s">
        <v>134</v>
      </c>
      <c r="H4" s="349"/>
    </row>
    <row r="5" spans="1:8" x14ac:dyDescent="0.2">
      <c r="A5" s="350"/>
      <c r="B5" s="369"/>
      <c r="C5" s="370"/>
      <c r="D5" s="370"/>
      <c r="E5" s="370"/>
      <c r="F5" s="371"/>
      <c r="G5" s="350"/>
      <c r="H5" s="351"/>
    </row>
    <row r="6" spans="1:8" ht="13.5" thickBot="1" x14ac:dyDescent="0.25">
      <c r="A6" s="352"/>
      <c r="B6" s="369"/>
      <c r="C6" s="370"/>
      <c r="D6" s="370"/>
      <c r="E6" s="370"/>
      <c r="F6" s="371"/>
      <c r="G6" s="350"/>
      <c r="H6" s="351"/>
    </row>
    <row r="7" spans="1:8" x14ac:dyDescent="0.2">
      <c r="A7" s="68"/>
      <c r="B7" s="369"/>
      <c r="C7" s="370"/>
      <c r="D7" s="370"/>
      <c r="E7" s="370"/>
      <c r="F7" s="371"/>
      <c r="G7" s="350"/>
      <c r="H7" s="351"/>
    </row>
    <row r="8" spans="1:8" ht="26.25" customHeight="1" thickBot="1" x14ac:dyDescent="0.25">
      <c r="A8" s="69" t="s">
        <v>8</v>
      </c>
      <c r="B8" s="372"/>
      <c r="C8" s="373"/>
      <c r="D8" s="373"/>
      <c r="E8" s="373"/>
      <c r="F8" s="374"/>
      <c r="G8" s="352"/>
      <c r="H8" s="353"/>
    </row>
    <row r="9" spans="1:8" x14ac:dyDescent="0.2">
      <c r="A9" s="363" t="s">
        <v>9</v>
      </c>
      <c r="B9" s="364"/>
      <c r="C9" s="365"/>
      <c r="D9" s="172" t="s">
        <v>10</v>
      </c>
      <c r="E9" s="172" t="s">
        <v>11</v>
      </c>
      <c r="F9" s="172" t="s">
        <v>12</v>
      </c>
      <c r="G9" s="171" t="s">
        <v>13</v>
      </c>
      <c r="H9" s="18"/>
    </row>
    <row r="10" spans="1:8" x14ac:dyDescent="0.2">
      <c r="A10" s="357" t="s">
        <v>115</v>
      </c>
      <c r="B10" s="358"/>
      <c r="C10" s="359"/>
      <c r="D10" s="19" t="s">
        <v>116</v>
      </c>
      <c r="E10" s="20">
        <v>30000</v>
      </c>
      <c r="F10" s="20">
        <v>20</v>
      </c>
      <c r="G10" s="21">
        <f>E10/F10</f>
        <v>1500</v>
      </c>
      <c r="H10" s="22"/>
    </row>
    <row r="11" spans="1:8" x14ac:dyDescent="0.2">
      <c r="A11" s="357"/>
      <c r="B11" s="358"/>
      <c r="C11" s="359"/>
      <c r="D11" s="23"/>
      <c r="E11" s="24"/>
      <c r="F11" s="25"/>
      <c r="G11" s="26"/>
      <c r="H11" s="22"/>
    </row>
    <row r="12" spans="1:8" x14ac:dyDescent="0.2">
      <c r="A12" s="27"/>
      <c r="B12" s="28"/>
      <c r="C12" s="29"/>
      <c r="D12" s="30"/>
      <c r="E12" s="24"/>
      <c r="F12" s="25"/>
      <c r="G12" s="26"/>
      <c r="H12" s="22"/>
    </row>
    <row r="13" spans="1:8" x14ac:dyDescent="0.2">
      <c r="A13" s="357"/>
      <c r="B13" s="358"/>
      <c r="C13" s="359"/>
      <c r="D13" s="31"/>
      <c r="E13" s="32"/>
      <c r="F13" s="25"/>
      <c r="G13" s="26"/>
      <c r="H13" s="22"/>
    </row>
    <row r="14" spans="1:8" ht="13.5" thickBot="1" x14ac:dyDescent="0.25">
      <c r="A14" s="360"/>
      <c r="B14" s="361"/>
      <c r="C14" s="362"/>
      <c r="D14" s="33"/>
      <c r="E14" s="34"/>
      <c r="F14" s="35"/>
      <c r="G14" s="36"/>
      <c r="H14" s="37"/>
    </row>
    <row r="15" spans="1:8" ht="13.5" thickBot="1" x14ac:dyDescent="0.25">
      <c r="A15" s="10"/>
      <c r="B15" s="10"/>
      <c r="C15" s="10"/>
      <c r="D15" s="10"/>
      <c r="E15" s="10"/>
      <c r="F15" s="10"/>
      <c r="G15" s="38" t="s">
        <v>14</v>
      </c>
      <c r="H15" s="107">
        <f>ROUNDUP(SUM(G10:G12),0)</f>
        <v>1500</v>
      </c>
    </row>
    <row r="16" spans="1:8" ht="13.5" thickBot="1" x14ac:dyDescent="0.25">
      <c r="A16" s="11" t="s">
        <v>15</v>
      </c>
      <c r="B16" s="11"/>
      <c r="C16" s="11"/>
      <c r="D16" s="10"/>
      <c r="E16" s="10"/>
      <c r="F16" s="10"/>
      <c r="G16" s="10"/>
      <c r="H16" s="10"/>
    </row>
    <row r="17" spans="1:8" x14ac:dyDescent="0.2">
      <c r="A17" s="363" t="s">
        <v>9</v>
      </c>
      <c r="B17" s="364"/>
      <c r="C17" s="365"/>
      <c r="D17" s="172" t="s">
        <v>16</v>
      </c>
      <c r="E17" s="172" t="s">
        <v>17</v>
      </c>
      <c r="F17" s="172" t="s">
        <v>18</v>
      </c>
      <c r="G17" s="51" t="s">
        <v>13</v>
      </c>
      <c r="H17" s="18"/>
    </row>
    <row r="18" spans="1:8" x14ac:dyDescent="0.2">
      <c r="A18" s="332"/>
      <c r="B18" s="333"/>
      <c r="C18" s="334"/>
      <c r="D18" s="23"/>
      <c r="E18" s="24"/>
      <c r="F18" s="40"/>
      <c r="G18" s="114"/>
      <c r="H18" s="22"/>
    </row>
    <row r="19" spans="1:8" x14ac:dyDescent="0.2">
      <c r="A19" s="332"/>
      <c r="B19" s="333"/>
      <c r="C19" s="334"/>
      <c r="D19" s="23"/>
      <c r="E19" s="24"/>
      <c r="F19" s="40"/>
      <c r="G19" s="114"/>
      <c r="H19" s="22"/>
    </row>
    <row r="20" spans="1:8" ht="13.5" thickBot="1" x14ac:dyDescent="0.25">
      <c r="A20" s="375"/>
      <c r="B20" s="378"/>
      <c r="C20" s="376"/>
      <c r="D20" s="43"/>
      <c r="E20" s="44"/>
      <c r="F20" s="35"/>
      <c r="G20" s="176"/>
      <c r="H20" s="37"/>
    </row>
    <row r="21" spans="1:8" ht="13.5" thickBot="1" x14ac:dyDescent="0.25">
      <c r="A21" s="10"/>
      <c r="B21" s="10"/>
      <c r="C21" s="10"/>
      <c r="D21" s="10"/>
      <c r="E21" s="10"/>
      <c r="F21" s="10"/>
      <c r="G21" s="38" t="s">
        <v>14</v>
      </c>
      <c r="H21" s="45">
        <f>SUM(G18:G20)</f>
        <v>0</v>
      </c>
    </row>
    <row r="22" spans="1:8" ht="13.5" thickBot="1" x14ac:dyDescent="0.25">
      <c r="A22" s="46" t="s">
        <v>19</v>
      </c>
      <c r="B22" s="46"/>
      <c r="C22" s="47"/>
      <c r="D22" s="10"/>
      <c r="E22" s="10"/>
      <c r="F22" s="10"/>
      <c r="G22" s="10"/>
      <c r="H22" s="10"/>
    </row>
    <row r="23" spans="1:8" x14ac:dyDescent="0.2">
      <c r="A23" s="110" t="s">
        <v>20</v>
      </c>
      <c r="B23" s="111"/>
      <c r="C23" s="112" t="s">
        <v>21</v>
      </c>
      <c r="D23" s="172" t="s">
        <v>22</v>
      </c>
      <c r="E23" s="172" t="s">
        <v>23</v>
      </c>
      <c r="F23" s="172" t="s">
        <v>24</v>
      </c>
      <c r="G23" s="51" t="s">
        <v>13</v>
      </c>
      <c r="H23" s="52"/>
    </row>
    <row r="24" spans="1:8" ht="27" customHeight="1" x14ac:dyDescent="0.2">
      <c r="A24" s="379"/>
      <c r="B24" s="380"/>
      <c r="C24" s="53"/>
      <c r="D24" s="54"/>
      <c r="E24" s="54"/>
      <c r="F24" s="55"/>
      <c r="G24" s="114"/>
      <c r="H24" s="22"/>
    </row>
    <row r="25" spans="1:8" x14ac:dyDescent="0.2">
      <c r="A25" s="332"/>
      <c r="B25" s="338"/>
      <c r="C25" s="56"/>
      <c r="D25" s="54"/>
      <c r="E25" s="54"/>
      <c r="F25" s="55"/>
      <c r="G25" s="114"/>
      <c r="H25" s="22"/>
    </row>
    <row r="26" spans="1:8" x14ac:dyDescent="0.2">
      <c r="A26" s="332"/>
      <c r="B26" s="338"/>
      <c r="C26" s="50"/>
      <c r="D26" s="23"/>
      <c r="E26" s="57"/>
      <c r="F26" s="25"/>
      <c r="G26" s="114"/>
      <c r="H26" s="22"/>
    </row>
    <row r="27" spans="1:8" ht="13.5" thickBot="1" x14ac:dyDescent="0.25">
      <c r="A27" s="375"/>
      <c r="B27" s="376"/>
      <c r="C27" s="43"/>
      <c r="D27" s="44"/>
      <c r="E27" s="35"/>
      <c r="F27" s="36"/>
      <c r="G27" s="116"/>
      <c r="H27" s="22"/>
    </row>
    <row r="28" spans="1:8" ht="13.5" thickBot="1" x14ac:dyDescent="0.25">
      <c r="A28" s="10"/>
      <c r="B28" s="10"/>
      <c r="C28" s="10"/>
      <c r="D28" s="10"/>
      <c r="E28" s="10"/>
      <c r="F28" s="10"/>
      <c r="G28" s="38" t="s">
        <v>14</v>
      </c>
      <c r="H28" s="58">
        <f>G24</f>
        <v>0</v>
      </c>
    </row>
    <row r="29" spans="1:8" ht="13.5" thickBot="1" x14ac:dyDescent="0.25">
      <c r="A29" s="46" t="s">
        <v>25</v>
      </c>
      <c r="B29" s="46"/>
      <c r="C29" s="10"/>
      <c r="D29" s="10"/>
      <c r="E29" s="10"/>
      <c r="F29" s="10"/>
      <c r="G29" s="10"/>
      <c r="H29" s="10"/>
    </row>
    <row r="30" spans="1:8" x14ac:dyDescent="0.2">
      <c r="A30" s="110" t="s">
        <v>26</v>
      </c>
      <c r="B30" s="111"/>
      <c r="C30" s="59" t="s">
        <v>27</v>
      </c>
      <c r="D30" s="172" t="s">
        <v>28</v>
      </c>
      <c r="E30" s="172" t="s">
        <v>29</v>
      </c>
      <c r="F30" s="172" t="s">
        <v>12</v>
      </c>
      <c r="G30" s="51" t="s">
        <v>13</v>
      </c>
      <c r="H30" s="18"/>
    </row>
    <row r="31" spans="1:8" x14ac:dyDescent="0.2">
      <c r="A31" s="48" t="s">
        <v>133</v>
      </c>
      <c r="B31" s="49"/>
      <c r="C31" s="60">
        <f>100%*E31/D31</f>
        <v>217344.62759462761</v>
      </c>
      <c r="D31" s="61">
        <v>1.82</v>
      </c>
      <c r="E31" s="60">
        <v>395567.22222222225</v>
      </c>
      <c r="F31" s="25">
        <v>0.1</v>
      </c>
      <c r="G31" s="62">
        <f>E31*F31</f>
        <v>39556.722222222226</v>
      </c>
      <c r="H31" s="12"/>
    </row>
    <row r="32" spans="1:8" x14ac:dyDescent="0.2">
      <c r="A32" s="357"/>
      <c r="B32" s="377"/>
      <c r="C32" s="60"/>
      <c r="D32" s="61"/>
      <c r="E32" s="24"/>
      <c r="F32" s="25"/>
      <c r="G32" s="62"/>
      <c r="H32" s="12"/>
    </row>
    <row r="33" spans="1:8" x14ac:dyDescent="0.2">
      <c r="A33" s="332"/>
      <c r="B33" s="338"/>
      <c r="C33" s="63"/>
      <c r="D33" s="61"/>
      <c r="E33" s="24"/>
      <c r="F33" s="25"/>
      <c r="G33" s="114"/>
      <c r="H33" s="22"/>
    </row>
    <row r="34" spans="1:8" x14ac:dyDescent="0.2">
      <c r="A34" s="332"/>
      <c r="B34" s="338"/>
      <c r="C34" s="64"/>
      <c r="D34" s="23"/>
      <c r="E34" s="24"/>
      <c r="F34" s="25"/>
      <c r="G34" s="114"/>
      <c r="H34" s="22"/>
    </row>
    <row r="35" spans="1:8" x14ac:dyDescent="0.2">
      <c r="A35" s="332"/>
      <c r="B35" s="338"/>
      <c r="C35" s="64"/>
      <c r="D35" s="23"/>
      <c r="E35" s="24"/>
      <c r="F35" s="25"/>
      <c r="G35" s="114"/>
      <c r="H35" s="22"/>
    </row>
    <row r="36" spans="1:8" ht="13.5" thickBot="1" x14ac:dyDescent="0.25">
      <c r="A36" s="375"/>
      <c r="B36" s="376"/>
      <c r="C36" s="65"/>
      <c r="D36" s="42"/>
      <c r="E36" s="42"/>
      <c r="F36" s="42"/>
      <c r="G36" s="115"/>
      <c r="H36" s="37"/>
    </row>
    <row r="37" spans="1:8" ht="13.5" thickBot="1" x14ac:dyDescent="0.25">
      <c r="A37" s="10"/>
      <c r="B37" s="10"/>
      <c r="C37" s="10"/>
      <c r="D37" s="10"/>
      <c r="E37" s="10"/>
      <c r="F37" s="10"/>
      <c r="G37" s="38" t="s">
        <v>14</v>
      </c>
      <c r="H37" s="39">
        <f>ROUNDUP(SUM(G31:G32),0)</f>
        <v>39557</v>
      </c>
    </row>
    <row r="38" spans="1:8" ht="13.5" thickBot="1" x14ac:dyDescent="0.25">
      <c r="A38" s="10"/>
      <c r="B38" s="10"/>
      <c r="C38" s="10"/>
      <c r="D38" s="10"/>
      <c r="E38" s="10"/>
      <c r="F38" s="10"/>
      <c r="G38" s="66"/>
      <c r="H38" s="10"/>
    </row>
    <row r="39" spans="1:8" ht="13.5" thickBot="1" x14ac:dyDescent="0.25">
      <c r="A39" s="10"/>
      <c r="B39" s="10"/>
      <c r="C39" s="10"/>
      <c r="D39" s="10"/>
      <c r="E39" s="8" t="s">
        <v>30</v>
      </c>
      <c r="F39" s="8"/>
      <c r="G39" s="8"/>
      <c r="H39" s="108">
        <f>ROUND(SUM(H15+H21+H28+H37),0)</f>
        <v>41057</v>
      </c>
    </row>
    <row r="42" spans="1:8" ht="13.5" thickBot="1" x14ac:dyDescent="0.25"/>
    <row r="43" spans="1:8" x14ac:dyDescent="0.2">
      <c r="A43" s="4"/>
      <c r="B43" s="5"/>
      <c r="C43" s="6"/>
      <c r="D43" s="339" t="s">
        <v>6</v>
      </c>
      <c r="E43" s="340"/>
      <c r="F43" s="340"/>
      <c r="G43" s="340"/>
      <c r="H43" s="341"/>
    </row>
    <row r="44" spans="1:8" x14ac:dyDescent="0.2">
      <c r="A44" s="7"/>
      <c r="B44" s="8"/>
      <c r="C44" s="9"/>
      <c r="D44" s="342"/>
      <c r="E44" s="343"/>
      <c r="F44" s="343"/>
      <c r="G44" s="343"/>
      <c r="H44" s="344"/>
    </row>
    <row r="45" spans="1:8" ht="33.75" customHeight="1" thickBot="1" x14ac:dyDescent="0.25">
      <c r="A45" s="13"/>
      <c r="B45" s="14"/>
      <c r="C45" s="15"/>
      <c r="D45" s="345"/>
      <c r="E45" s="346"/>
      <c r="F45" s="346"/>
      <c r="G45" s="346"/>
      <c r="H45" s="347"/>
    </row>
    <row r="46" spans="1:8" x14ac:dyDescent="0.2">
      <c r="A46" s="348" t="s">
        <v>32</v>
      </c>
      <c r="B46" s="366" t="s">
        <v>135</v>
      </c>
      <c r="C46" s="367"/>
      <c r="D46" s="367"/>
      <c r="E46" s="367"/>
      <c r="F46" s="368"/>
      <c r="G46" s="348" t="s">
        <v>134</v>
      </c>
      <c r="H46" s="349"/>
    </row>
    <row r="47" spans="1:8" x14ac:dyDescent="0.2">
      <c r="A47" s="350"/>
      <c r="B47" s="369"/>
      <c r="C47" s="370"/>
      <c r="D47" s="370"/>
      <c r="E47" s="370"/>
      <c r="F47" s="371"/>
      <c r="G47" s="350"/>
      <c r="H47" s="351"/>
    </row>
    <row r="48" spans="1:8" ht="13.5" thickBot="1" x14ac:dyDescent="0.25">
      <c r="A48" s="352"/>
      <c r="B48" s="369"/>
      <c r="C48" s="370"/>
      <c r="D48" s="370"/>
      <c r="E48" s="370"/>
      <c r="F48" s="371"/>
      <c r="G48" s="350"/>
      <c r="H48" s="351"/>
    </row>
    <row r="49" spans="1:8" x14ac:dyDescent="0.2">
      <c r="A49" s="68"/>
      <c r="B49" s="369"/>
      <c r="C49" s="370"/>
      <c r="D49" s="370"/>
      <c r="E49" s="370"/>
      <c r="F49" s="371"/>
      <c r="G49" s="350"/>
      <c r="H49" s="351"/>
    </row>
    <row r="50" spans="1:8" ht="13.5" thickBot="1" x14ac:dyDescent="0.25">
      <c r="A50" s="69" t="s">
        <v>8</v>
      </c>
      <c r="B50" s="372"/>
      <c r="C50" s="373"/>
      <c r="D50" s="373"/>
      <c r="E50" s="373"/>
      <c r="F50" s="374"/>
      <c r="G50" s="352"/>
      <c r="H50" s="353"/>
    </row>
    <row r="51" spans="1:8" x14ac:dyDescent="0.2">
      <c r="A51" s="363" t="s">
        <v>9</v>
      </c>
      <c r="B51" s="364"/>
      <c r="C51" s="365"/>
      <c r="D51" s="172" t="s">
        <v>10</v>
      </c>
      <c r="E51" s="172" t="s">
        <v>11</v>
      </c>
      <c r="F51" s="172" t="s">
        <v>12</v>
      </c>
      <c r="G51" s="171" t="s">
        <v>13</v>
      </c>
      <c r="H51" s="18"/>
    </row>
    <row r="52" spans="1:8" x14ac:dyDescent="0.2">
      <c r="A52" s="357" t="s">
        <v>115</v>
      </c>
      <c r="B52" s="358"/>
      <c r="C52" s="359"/>
      <c r="D52" s="19" t="s">
        <v>116</v>
      </c>
      <c r="E52" s="20"/>
      <c r="F52" s="20"/>
      <c r="G52" s="21">
        <f>0.1*H79</f>
        <v>1186.8</v>
      </c>
      <c r="H52" s="22"/>
    </row>
    <row r="53" spans="1:8" x14ac:dyDescent="0.2">
      <c r="A53" s="357"/>
      <c r="B53" s="358"/>
      <c r="C53" s="359"/>
      <c r="D53" s="23"/>
      <c r="E53" s="24"/>
      <c r="F53" s="25"/>
      <c r="G53" s="26"/>
      <c r="H53" s="22"/>
    </row>
    <row r="54" spans="1:8" x14ac:dyDescent="0.2">
      <c r="A54" s="27"/>
      <c r="B54" s="28"/>
      <c r="C54" s="29"/>
      <c r="D54" s="30"/>
      <c r="E54" s="24"/>
      <c r="F54" s="25"/>
      <c r="G54" s="26"/>
      <c r="H54" s="22"/>
    </row>
    <row r="55" spans="1:8" x14ac:dyDescent="0.2">
      <c r="A55" s="357"/>
      <c r="B55" s="358"/>
      <c r="C55" s="359"/>
      <c r="D55" s="31"/>
      <c r="E55" s="32"/>
      <c r="F55" s="25"/>
      <c r="G55" s="26"/>
      <c r="H55" s="22"/>
    </row>
    <row r="56" spans="1:8" ht="13.5" thickBot="1" x14ac:dyDescent="0.25">
      <c r="A56" s="360"/>
      <c r="B56" s="361"/>
      <c r="C56" s="362"/>
      <c r="D56" s="33"/>
      <c r="E56" s="34"/>
      <c r="F56" s="35"/>
      <c r="G56" s="36"/>
      <c r="H56" s="37"/>
    </row>
    <row r="57" spans="1:8" ht="13.5" thickBot="1" x14ac:dyDescent="0.25">
      <c r="A57" s="10"/>
      <c r="B57" s="10"/>
      <c r="C57" s="10"/>
      <c r="D57" s="10"/>
      <c r="E57" s="10"/>
      <c r="F57" s="10"/>
      <c r="G57" s="38" t="s">
        <v>14</v>
      </c>
      <c r="H57" s="107">
        <f>ROUNDUP(SUM(G52:G54),0)</f>
        <v>1187</v>
      </c>
    </row>
    <row r="58" spans="1:8" ht="13.5" thickBot="1" x14ac:dyDescent="0.25">
      <c r="A58" s="11" t="s">
        <v>15</v>
      </c>
      <c r="B58" s="11"/>
      <c r="C58" s="11"/>
      <c r="D58" s="10"/>
      <c r="E58" s="10"/>
      <c r="F58" s="10"/>
      <c r="G58" s="10"/>
      <c r="H58" s="10"/>
    </row>
    <row r="59" spans="1:8" x14ac:dyDescent="0.2">
      <c r="A59" s="363" t="s">
        <v>9</v>
      </c>
      <c r="B59" s="364"/>
      <c r="C59" s="365"/>
      <c r="D59" s="172" t="s">
        <v>16</v>
      </c>
      <c r="E59" s="172" t="s">
        <v>17</v>
      </c>
      <c r="F59" s="172" t="s">
        <v>18</v>
      </c>
      <c r="G59" s="51" t="s">
        <v>13</v>
      </c>
      <c r="H59" s="18"/>
    </row>
    <row r="60" spans="1:8" x14ac:dyDescent="0.2">
      <c r="A60" s="332" t="s">
        <v>136</v>
      </c>
      <c r="B60" s="333"/>
      <c r="C60" s="334"/>
      <c r="D60" s="23" t="s">
        <v>34</v>
      </c>
      <c r="E60" s="24">
        <v>70000</v>
      </c>
      <c r="F60" s="40">
        <v>1.3</v>
      </c>
      <c r="G60" s="114">
        <f>E60*F60</f>
        <v>91000</v>
      </c>
      <c r="H60" s="22"/>
    </row>
    <row r="61" spans="1:8" x14ac:dyDescent="0.2">
      <c r="A61" s="332"/>
      <c r="B61" s="333"/>
      <c r="C61" s="334"/>
      <c r="D61" s="23"/>
      <c r="E61" s="24"/>
      <c r="F61" s="40"/>
      <c r="G61" s="114"/>
      <c r="H61" s="22"/>
    </row>
    <row r="62" spans="1:8" ht="13.5" thickBot="1" x14ac:dyDescent="0.25">
      <c r="A62" s="375"/>
      <c r="B62" s="378"/>
      <c r="C62" s="376"/>
      <c r="D62" s="43"/>
      <c r="E62" s="44"/>
      <c r="F62" s="35"/>
      <c r="G62" s="176"/>
      <c r="H62" s="37"/>
    </row>
    <row r="63" spans="1:8" ht="13.5" thickBot="1" x14ac:dyDescent="0.25">
      <c r="A63" s="10"/>
      <c r="B63" s="10"/>
      <c r="C63" s="10"/>
      <c r="D63" s="10"/>
      <c r="E63" s="10"/>
      <c r="F63" s="10"/>
      <c r="G63" s="38" t="s">
        <v>14</v>
      </c>
      <c r="H63" s="45">
        <f>SUM(G60:G62)</f>
        <v>91000</v>
      </c>
    </row>
    <row r="64" spans="1:8" ht="13.5" thickBot="1" x14ac:dyDescent="0.25">
      <c r="A64" s="46" t="s">
        <v>19</v>
      </c>
      <c r="B64" s="46"/>
      <c r="C64" s="47"/>
      <c r="D64" s="10"/>
      <c r="E64" s="10"/>
      <c r="F64" s="10"/>
      <c r="G64" s="10"/>
      <c r="H64" s="10"/>
    </row>
    <row r="65" spans="1:8" x14ac:dyDescent="0.2">
      <c r="A65" s="110" t="s">
        <v>20</v>
      </c>
      <c r="B65" s="111"/>
      <c r="C65" s="112" t="s">
        <v>21</v>
      </c>
      <c r="D65" s="172" t="s">
        <v>22</v>
      </c>
      <c r="E65" s="172" t="s">
        <v>23</v>
      </c>
      <c r="F65" s="172" t="s">
        <v>24</v>
      </c>
      <c r="G65" s="51" t="s">
        <v>13</v>
      </c>
      <c r="H65" s="52"/>
    </row>
    <row r="66" spans="1:8" ht="21.75" customHeight="1" x14ac:dyDescent="0.2">
      <c r="A66" s="379"/>
      <c r="B66" s="380"/>
      <c r="C66" s="53"/>
      <c r="D66" s="54"/>
      <c r="E66" s="54"/>
      <c r="F66" s="55"/>
      <c r="G66" s="114"/>
      <c r="H66" s="22"/>
    </row>
    <row r="67" spans="1:8" x14ac:dyDescent="0.2">
      <c r="A67" s="332"/>
      <c r="B67" s="338"/>
      <c r="C67" s="56"/>
      <c r="D67" s="54"/>
      <c r="E67" s="54"/>
      <c r="F67" s="55"/>
      <c r="G67" s="114"/>
      <c r="H67" s="22"/>
    </row>
    <row r="68" spans="1:8" x14ac:dyDescent="0.2">
      <c r="A68" s="332"/>
      <c r="B68" s="338"/>
      <c r="C68" s="50"/>
      <c r="D68" s="23"/>
      <c r="E68" s="57"/>
      <c r="F68" s="25"/>
      <c r="G68" s="114"/>
      <c r="H68" s="22"/>
    </row>
    <row r="69" spans="1:8" ht="13.5" thickBot="1" x14ac:dyDescent="0.25">
      <c r="A69" s="375"/>
      <c r="B69" s="376"/>
      <c r="C69" s="43"/>
      <c r="D69" s="44"/>
      <c r="E69" s="35"/>
      <c r="F69" s="36"/>
      <c r="G69" s="116"/>
      <c r="H69" s="22"/>
    </row>
    <row r="70" spans="1:8" ht="13.5" thickBot="1" x14ac:dyDescent="0.25">
      <c r="A70" s="10"/>
      <c r="B70" s="10"/>
      <c r="C70" s="10"/>
      <c r="D70" s="10"/>
      <c r="E70" s="10"/>
      <c r="F70" s="10"/>
      <c r="G70" s="38" t="s">
        <v>14</v>
      </c>
      <c r="H70" s="58">
        <v>0</v>
      </c>
    </row>
    <row r="71" spans="1:8" ht="13.5" thickBot="1" x14ac:dyDescent="0.25">
      <c r="A71" s="46" t="s">
        <v>25</v>
      </c>
      <c r="B71" s="46"/>
      <c r="C71" s="10"/>
      <c r="D71" s="10"/>
      <c r="E71" s="10"/>
      <c r="F71" s="10"/>
      <c r="G71" s="10"/>
      <c r="H71" s="10"/>
    </row>
    <row r="72" spans="1:8" x14ac:dyDescent="0.2">
      <c r="A72" s="110" t="s">
        <v>26</v>
      </c>
      <c r="B72" s="111"/>
      <c r="C72" s="59" t="s">
        <v>27</v>
      </c>
      <c r="D72" s="172" t="s">
        <v>28</v>
      </c>
      <c r="E72" s="172" t="s">
        <v>29</v>
      </c>
      <c r="F72" s="172" t="s">
        <v>12</v>
      </c>
      <c r="G72" s="51" t="s">
        <v>13</v>
      </c>
      <c r="H72" s="18"/>
    </row>
    <row r="73" spans="1:8" x14ac:dyDescent="0.2">
      <c r="A73" s="48" t="s">
        <v>133</v>
      </c>
      <c r="B73" s="49"/>
      <c r="C73" s="60">
        <f>100%*E73/D73</f>
        <v>217344.62759462761</v>
      </c>
      <c r="D73" s="61">
        <v>1.82</v>
      </c>
      <c r="E73" s="60">
        <v>395567.22222222225</v>
      </c>
      <c r="F73" s="25">
        <v>0.03</v>
      </c>
      <c r="G73" s="62">
        <f>E73*F73</f>
        <v>11867.016666666666</v>
      </c>
      <c r="H73" s="12"/>
    </row>
    <row r="74" spans="1:8" x14ac:dyDescent="0.2">
      <c r="A74" s="357"/>
      <c r="B74" s="377"/>
      <c r="C74" s="60"/>
      <c r="D74" s="61"/>
      <c r="E74" s="24"/>
      <c r="F74" s="25"/>
      <c r="G74" s="62"/>
      <c r="H74" s="12"/>
    </row>
    <row r="75" spans="1:8" x14ac:dyDescent="0.2">
      <c r="A75" s="332"/>
      <c r="B75" s="338"/>
      <c r="C75" s="63"/>
      <c r="D75" s="61"/>
      <c r="E75" s="24"/>
      <c r="F75" s="25"/>
      <c r="G75" s="114"/>
      <c r="H75" s="22"/>
    </row>
    <row r="76" spans="1:8" x14ac:dyDescent="0.2">
      <c r="A76" s="332"/>
      <c r="B76" s="338"/>
      <c r="C76" s="64"/>
      <c r="D76" s="23"/>
      <c r="E76" s="24"/>
      <c r="F76" s="25"/>
      <c r="G76" s="114"/>
      <c r="H76" s="22"/>
    </row>
    <row r="77" spans="1:8" x14ac:dyDescent="0.2">
      <c r="A77" s="332"/>
      <c r="B77" s="338"/>
      <c r="C77" s="64"/>
      <c r="D77" s="23"/>
      <c r="E77" s="24"/>
      <c r="F77" s="25"/>
      <c r="G77" s="114"/>
      <c r="H77" s="22"/>
    </row>
    <row r="78" spans="1:8" ht="13.5" thickBot="1" x14ac:dyDescent="0.25">
      <c r="A78" s="375"/>
      <c r="B78" s="376"/>
      <c r="C78" s="65"/>
      <c r="D78" s="42"/>
      <c r="E78" s="42"/>
      <c r="F78" s="42"/>
      <c r="G78" s="115"/>
      <c r="H78" s="37"/>
    </row>
    <row r="79" spans="1:8" ht="13.5" thickBot="1" x14ac:dyDescent="0.25">
      <c r="A79" s="10"/>
      <c r="B79" s="10"/>
      <c r="C79" s="10"/>
      <c r="D79" s="10"/>
      <c r="E79" s="10"/>
      <c r="F79" s="10"/>
      <c r="G79" s="38" t="s">
        <v>14</v>
      </c>
      <c r="H79" s="39">
        <f>ROUNDUP(SUM(G73:G74),0)</f>
        <v>11868</v>
      </c>
    </row>
    <row r="80" spans="1:8" ht="13.5" thickBot="1" x14ac:dyDescent="0.25">
      <c r="A80" s="10"/>
      <c r="B80" s="10"/>
      <c r="C80" s="10"/>
      <c r="D80" s="10"/>
      <c r="E80" s="10"/>
      <c r="F80" s="10"/>
      <c r="G80" s="66"/>
      <c r="H80" s="10"/>
    </row>
    <row r="81" spans="1:8" ht="13.5" thickBot="1" x14ac:dyDescent="0.25">
      <c r="A81" s="10"/>
      <c r="B81" s="10"/>
      <c r="C81" s="10"/>
      <c r="D81" s="10"/>
      <c r="E81" s="8" t="s">
        <v>30</v>
      </c>
      <c r="F81" s="8"/>
      <c r="G81" s="8"/>
      <c r="H81" s="180">
        <f>ROUND(SUM(H57+H63+H70+H79),0)</f>
        <v>104055</v>
      </c>
    </row>
    <row r="85" spans="1:8" ht="13.5" thickBot="1" x14ac:dyDescent="0.25"/>
    <row r="86" spans="1:8" x14ac:dyDescent="0.2">
      <c r="A86" s="4"/>
      <c r="B86" s="5"/>
      <c r="C86" s="6"/>
      <c r="D86" s="339" t="s">
        <v>6</v>
      </c>
      <c r="E86" s="340"/>
      <c r="F86" s="340"/>
      <c r="G86" s="340"/>
      <c r="H86" s="341"/>
    </row>
    <row r="87" spans="1:8" ht="27.75" customHeight="1" x14ac:dyDescent="0.2">
      <c r="A87" s="7"/>
      <c r="B87" s="8"/>
      <c r="C87" s="9"/>
      <c r="D87" s="342"/>
      <c r="E87" s="343"/>
      <c r="F87" s="343"/>
      <c r="G87" s="343"/>
      <c r="H87" s="344"/>
    </row>
    <row r="88" spans="1:8" ht="13.5" thickBot="1" x14ac:dyDescent="0.25">
      <c r="A88" s="13"/>
      <c r="B88" s="14"/>
      <c r="C88" s="15"/>
      <c r="D88" s="345"/>
      <c r="E88" s="346"/>
      <c r="F88" s="346"/>
      <c r="G88" s="346"/>
      <c r="H88" s="347"/>
    </row>
    <row r="89" spans="1:8" x14ac:dyDescent="0.2">
      <c r="A89" s="348" t="s">
        <v>40</v>
      </c>
      <c r="B89" s="366" t="s">
        <v>139</v>
      </c>
      <c r="C89" s="367"/>
      <c r="D89" s="367"/>
      <c r="E89" s="367"/>
      <c r="F89" s="368"/>
      <c r="G89" s="348" t="s">
        <v>134</v>
      </c>
      <c r="H89" s="349"/>
    </row>
    <row r="90" spans="1:8" x14ac:dyDescent="0.2">
      <c r="A90" s="350"/>
      <c r="B90" s="369"/>
      <c r="C90" s="370"/>
      <c r="D90" s="370"/>
      <c r="E90" s="370"/>
      <c r="F90" s="371"/>
      <c r="G90" s="350"/>
      <c r="H90" s="351"/>
    </row>
    <row r="91" spans="1:8" ht="13.5" thickBot="1" x14ac:dyDescent="0.25">
      <c r="A91" s="352"/>
      <c r="B91" s="369"/>
      <c r="C91" s="370"/>
      <c r="D91" s="370"/>
      <c r="E91" s="370"/>
      <c r="F91" s="371"/>
      <c r="G91" s="350"/>
      <c r="H91" s="351"/>
    </row>
    <row r="92" spans="1:8" x14ac:dyDescent="0.2">
      <c r="A92" s="68"/>
      <c r="B92" s="369"/>
      <c r="C92" s="370"/>
      <c r="D92" s="370"/>
      <c r="E92" s="370"/>
      <c r="F92" s="371"/>
      <c r="G92" s="350"/>
      <c r="H92" s="351"/>
    </row>
    <row r="93" spans="1:8" ht="48" customHeight="1" thickBot="1" x14ac:dyDescent="0.25">
      <c r="A93" s="69" t="s">
        <v>8</v>
      </c>
      <c r="B93" s="372"/>
      <c r="C93" s="373"/>
      <c r="D93" s="373"/>
      <c r="E93" s="373"/>
      <c r="F93" s="374"/>
      <c r="G93" s="352"/>
      <c r="H93" s="353"/>
    </row>
    <row r="94" spans="1:8" x14ac:dyDescent="0.2">
      <c r="A94" s="363" t="s">
        <v>9</v>
      </c>
      <c r="B94" s="364"/>
      <c r="C94" s="365"/>
      <c r="D94" s="17" t="s">
        <v>10</v>
      </c>
      <c r="E94" s="17" t="s">
        <v>11</v>
      </c>
      <c r="F94" s="17" t="s">
        <v>12</v>
      </c>
      <c r="G94" s="16" t="s">
        <v>13</v>
      </c>
      <c r="H94" s="18"/>
    </row>
    <row r="95" spans="1:8" x14ac:dyDescent="0.2">
      <c r="A95" s="357" t="s">
        <v>115</v>
      </c>
      <c r="B95" s="358"/>
      <c r="C95" s="359"/>
      <c r="D95" s="19" t="s">
        <v>116</v>
      </c>
      <c r="E95" s="20">
        <v>20000</v>
      </c>
      <c r="F95" s="20">
        <v>0.2</v>
      </c>
      <c r="G95" s="21">
        <f>E95*F95</f>
        <v>4000</v>
      </c>
      <c r="H95" s="22"/>
    </row>
    <row r="96" spans="1:8" x14ac:dyDescent="0.2">
      <c r="A96" s="357" t="s">
        <v>117</v>
      </c>
      <c r="B96" s="358"/>
      <c r="C96" s="359"/>
      <c r="D96" s="23" t="s">
        <v>119</v>
      </c>
      <c r="E96" s="24">
        <v>10000</v>
      </c>
      <c r="F96" s="25">
        <v>0.05</v>
      </c>
      <c r="G96" s="26">
        <f>E96*F96</f>
        <v>500</v>
      </c>
      <c r="H96" s="22"/>
    </row>
    <row r="97" spans="1:8" x14ac:dyDescent="0.2">
      <c r="A97" s="27" t="s">
        <v>118</v>
      </c>
      <c r="B97" s="28"/>
      <c r="C97" s="29"/>
      <c r="D97" s="30" t="s">
        <v>120</v>
      </c>
      <c r="E97" s="24">
        <v>36000</v>
      </c>
      <c r="F97" s="25">
        <v>0.08</v>
      </c>
      <c r="G97" s="26">
        <f>E97*F97</f>
        <v>2880</v>
      </c>
      <c r="H97" s="22"/>
    </row>
    <row r="98" spans="1:8" x14ac:dyDescent="0.2">
      <c r="A98" s="357" t="s">
        <v>126</v>
      </c>
      <c r="B98" s="358"/>
      <c r="C98" s="359"/>
      <c r="D98" s="31" t="s">
        <v>119</v>
      </c>
      <c r="E98" s="32">
        <v>2150</v>
      </c>
      <c r="F98" s="25">
        <v>3</v>
      </c>
      <c r="G98" s="26">
        <f>E98*F98</f>
        <v>6450</v>
      </c>
      <c r="H98" s="22"/>
    </row>
    <row r="99" spans="1:8" ht="13.5" thickBot="1" x14ac:dyDescent="0.25">
      <c r="A99" s="360"/>
      <c r="B99" s="361"/>
      <c r="C99" s="362"/>
      <c r="D99" s="33"/>
      <c r="E99" s="34"/>
      <c r="F99" s="35"/>
      <c r="G99" s="36"/>
      <c r="H99" s="37"/>
    </row>
    <row r="100" spans="1:8" ht="13.5" thickBot="1" x14ac:dyDescent="0.25">
      <c r="A100" s="10"/>
      <c r="B100" s="10"/>
      <c r="C100" s="10"/>
      <c r="D100" s="10"/>
      <c r="E100" s="10"/>
      <c r="F100" s="10"/>
      <c r="G100" s="38" t="s">
        <v>14</v>
      </c>
      <c r="H100" s="107">
        <f>ROUNDUP(SUM(G95:G97),0)</f>
        <v>7380</v>
      </c>
    </row>
    <row r="101" spans="1:8" ht="13.5" thickBot="1" x14ac:dyDescent="0.25">
      <c r="A101" s="11" t="s">
        <v>15</v>
      </c>
      <c r="B101" s="11"/>
      <c r="C101" s="11"/>
      <c r="D101" s="10"/>
      <c r="E101" s="10"/>
      <c r="F101" s="10"/>
      <c r="G101" s="10"/>
      <c r="H101" s="10"/>
    </row>
    <row r="102" spans="1:8" x14ac:dyDescent="0.2">
      <c r="A102" s="363" t="s">
        <v>9</v>
      </c>
      <c r="B102" s="364"/>
      <c r="C102" s="365"/>
      <c r="D102" s="17" t="s">
        <v>16</v>
      </c>
      <c r="E102" s="17" t="s">
        <v>17</v>
      </c>
      <c r="F102" s="17" t="s">
        <v>18</v>
      </c>
      <c r="G102" s="16" t="s">
        <v>13</v>
      </c>
      <c r="H102" s="18"/>
    </row>
    <row r="103" spans="1:8" x14ac:dyDescent="0.2">
      <c r="A103" s="332" t="s">
        <v>121</v>
      </c>
      <c r="B103" s="333"/>
      <c r="C103" s="334"/>
      <c r="D103" s="23" t="s">
        <v>34</v>
      </c>
      <c r="E103" s="24">
        <v>730000</v>
      </c>
      <c r="F103" s="40">
        <v>1.05</v>
      </c>
      <c r="G103" s="41">
        <f>E103*F103</f>
        <v>766500</v>
      </c>
      <c r="H103" s="22"/>
    </row>
    <row r="104" spans="1:8" x14ac:dyDescent="0.2">
      <c r="A104" s="332" t="s">
        <v>123</v>
      </c>
      <c r="B104" s="333"/>
      <c r="C104" s="334"/>
      <c r="D104" s="23" t="s">
        <v>87</v>
      </c>
      <c r="E104" s="24">
        <v>11320</v>
      </c>
      <c r="F104" s="40">
        <v>0.2</v>
      </c>
      <c r="G104" s="41">
        <f t="shared" ref="G104:G106" si="0">E104*F104</f>
        <v>2264</v>
      </c>
      <c r="H104" s="22"/>
    </row>
    <row r="105" spans="1:8" x14ac:dyDescent="0.2">
      <c r="A105" s="332" t="s">
        <v>124</v>
      </c>
      <c r="B105" s="333"/>
      <c r="C105" s="334"/>
      <c r="D105" s="23" t="s">
        <v>140</v>
      </c>
      <c r="E105" s="24">
        <v>9900</v>
      </c>
      <c r="F105" s="40">
        <v>0.04</v>
      </c>
      <c r="G105" s="41">
        <f t="shared" si="0"/>
        <v>396</v>
      </c>
      <c r="H105" s="22"/>
    </row>
    <row r="106" spans="1:8" x14ac:dyDescent="0.2">
      <c r="A106" s="332" t="s">
        <v>141</v>
      </c>
      <c r="B106" s="333"/>
      <c r="C106" s="334"/>
      <c r="D106" s="23" t="s">
        <v>87</v>
      </c>
      <c r="E106" s="24">
        <v>19600</v>
      </c>
      <c r="F106" s="40">
        <v>0.2</v>
      </c>
      <c r="G106" s="41">
        <f t="shared" si="0"/>
        <v>3920</v>
      </c>
      <c r="H106" s="22"/>
    </row>
    <row r="107" spans="1:8" x14ac:dyDescent="0.2">
      <c r="A107" s="332"/>
      <c r="B107" s="333"/>
      <c r="C107" s="334"/>
      <c r="D107" s="23"/>
      <c r="E107" s="24"/>
      <c r="F107" s="40"/>
      <c r="G107" s="41"/>
      <c r="H107" s="22"/>
    </row>
    <row r="108" spans="1:8" x14ac:dyDescent="0.2">
      <c r="A108" s="332"/>
      <c r="B108" s="333"/>
      <c r="C108" s="334"/>
      <c r="D108" s="23"/>
      <c r="E108" s="24"/>
      <c r="F108" s="40"/>
      <c r="G108" s="41"/>
      <c r="H108" s="22"/>
    </row>
    <row r="109" spans="1:8" x14ac:dyDescent="0.2">
      <c r="A109" s="169"/>
      <c r="B109" s="173"/>
      <c r="C109" s="174"/>
      <c r="D109" s="23"/>
      <c r="E109" s="24"/>
      <c r="F109" s="40"/>
      <c r="G109" s="41"/>
      <c r="H109" s="22"/>
    </row>
    <row r="110" spans="1:8" x14ac:dyDescent="0.2">
      <c r="A110" s="332"/>
      <c r="B110" s="333"/>
      <c r="C110" s="334"/>
      <c r="D110" s="23"/>
      <c r="E110" s="24"/>
      <c r="F110" s="40"/>
      <c r="G110" s="41"/>
      <c r="H110" s="22"/>
    </row>
    <row r="111" spans="1:8" x14ac:dyDescent="0.2">
      <c r="A111" s="332"/>
      <c r="B111" s="333"/>
      <c r="C111" s="334"/>
      <c r="D111" s="23"/>
      <c r="E111" s="24"/>
      <c r="F111" s="40"/>
      <c r="G111" s="41"/>
      <c r="H111" s="22"/>
    </row>
    <row r="112" spans="1:8" ht="13.5" thickBot="1" x14ac:dyDescent="0.25">
      <c r="A112" s="335"/>
      <c r="B112" s="336"/>
      <c r="C112" s="337"/>
      <c r="D112" s="43"/>
      <c r="E112" s="44"/>
      <c r="F112" s="35"/>
      <c r="G112" s="36"/>
      <c r="H112" s="37"/>
    </row>
    <row r="113" spans="1:10" ht="13.5" thickBot="1" x14ac:dyDescent="0.25">
      <c r="A113" s="10"/>
      <c r="B113" s="10"/>
      <c r="C113" s="10"/>
      <c r="D113" s="10"/>
      <c r="E113" s="10"/>
      <c r="F113" s="10"/>
      <c r="G113" s="38" t="s">
        <v>14</v>
      </c>
      <c r="H113" s="45">
        <f>SUM(G103:G112)</f>
        <v>773080</v>
      </c>
    </row>
    <row r="114" spans="1:10" ht="13.5" thickBot="1" x14ac:dyDescent="0.25">
      <c r="A114" s="46" t="s">
        <v>19</v>
      </c>
      <c r="B114" s="46"/>
      <c r="C114" s="47"/>
      <c r="D114" s="10"/>
      <c r="E114" s="10"/>
      <c r="F114" s="10"/>
      <c r="G114" s="10"/>
      <c r="H114" s="10"/>
    </row>
    <row r="115" spans="1:10" x14ac:dyDescent="0.2">
      <c r="A115" s="110" t="s">
        <v>20</v>
      </c>
      <c r="B115" s="111"/>
      <c r="C115" s="112" t="s">
        <v>21</v>
      </c>
      <c r="D115" s="100" t="s">
        <v>22</v>
      </c>
      <c r="E115" s="100" t="s">
        <v>23</v>
      </c>
      <c r="F115" s="100" t="s">
        <v>24</v>
      </c>
      <c r="G115" s="51" t="s">
        <v>13</v>
      </c>
      <c r="H115" s="52"/>
    </row>
    <row r="116" spans="1:10" x14ac:dyDescent="0.2">
      <c r="A116" s="332" t="s">
        <v>128</v>
      </c>
      <c r="B116" s="338"/>
      <c r="C116" s="53">
        <v>0.1</v>
      </c>
      <c r="D116" s="54" t="s">
        <v>34</v>
      </c>
      <c r="E116" s="54">
        <v>11</v>
      </c>
      <c r="F116" s="55">
        <v>1400</v>
      </c>
      <c r="G116" s="114">
        <f>C116*E116*F116</f>
        <v>1540.0000000000002</v>
      </c>
      <c r="H116" s="22"/>
    </row>
    <row r="117" spans="1:10" x14ac:dyDescent="0.2">
      <c r="A117" s="332"/>
      <c r="B117" s="338"/>
      <c r="C117" s="56"/>
      <c r="D117" s="54"/>
      <c r="E117" s="54"/>
      <c r="F117" s="55"/>
      <c r="G117" s="114"/>
      <c r="H117" s="22"/>
    </row>
    <row r="118" spans="1:10" x14ac:dyDescent="0.2">
      <c r="A118" s="332"/>
      <c r="B118" s="338"/>
      <c r="C118" s="50"/>
      <c r="D118" s="23"/>
      <c r="E118" s="57"/>
      <c r="F118" s="25"/>
      <c r="G118" s="114"/>
      <c r="H118" s="22"/>
    </row>
    <row r="119" spans="1:10" ht="13.5" thickBot="1" x14ac:dyDescent="0.25">
      <c r="A119" s="375"/>
      <c r="B119" s="376"/>
      <c r="C119" s="43"/>
      <c r="D119" s="44"/>
      <c r="E119" s="35"/>
      <c r="F119" s="36"/>
      <c r="G119" s="116"/>
      <c r="H119" s="22"/>
    </row>
    <row r="120" spans="1:10" ht="13.5" thickBot="1" x14ac:dyDescent="0.25">
      <c r="A120" s="10"/>
      <c r="B120" s="10"/>
      <c r="C120" s="10"/>
      <c r="D120" s="10"/>
      <c r="E120" s="10"/>
      <c r="F120" s="10"/>
      <c r="G120" s="38" t="s">
        <v>14</v>
      </c>
      <c r="H120" s="58">
        <f>G116</f>
        <v>1540.0000000000002</v>
      </c>
    </row>
    <row r="121" spans="1:10" ht="13.5" thickBot="1" x14ac:dyDescent="0.25">
      <c r="A121" s="46" t="s">
        <v>25</v>
      </c>
      <c r="B121" s="46"/>
      <c r="C121" s="10"/>
      <c r="D121" s="10"/>
      <c r="E121" s="10"/>
      <c r="F121" s="10"/>
      <c r="G121" s="10"/>
      <c r="H121" s="10"/>
    </row>
    <row r="122" spans="1:10" x14ac:dyDescent="0.2">
      <c r="A122" s="110" t="s">
        <v>26</v>
      </c>
      <c r="B122" s="111"/>
      <c r="C122" s="59" t="s">
        <v>27</v>
      </c>
      <c r="D122" s="100" t="s">
        <v>28</v>
      </c>
      <c r="E122" s="100" t="s">
        <v>29</v>
      </c>
      <c r="F122" s="100" t="s">
        <v>12</v>
      </c>
      <c r="G122" s="51" t="s">
        <v>13</v>
      </c>
      <c r="H122" s="18"/>
    </row>
    <row r="123" spans="1:10" x14ac:dyDescent="0.2">
      <c r="A123" s="48" t="s">
        <v>145</v>
      </c>
      <c r="B123" s="49"/>
      <c r="C123" s="60">
        <f>100%*E123/D123</f>
        <v>521978.02197802195</v>
      </c>
      <c r="D123" s="61">
        <v>1.82</v>
      </c>
      <c r="E123" s="24">
        <v>950000</v>
      </c>
      <c r="F123" s="25">
        <v>0.15</v>
      </c>
      <c r="G123" s="62">
        <f>E123*F123</f>
        <v>142500</v>
      </c>
      <c r="H123" s="12"/>
      <c r="J123" s="106"/>
    </row>
    <row r="124" spans="1:10" x14ac:dyDescent="0.2">
      <c r="A124" s="357"/>
      <c r="B124" s="377"/>
      <c r="C124" s="60"/>
      <c r="D124" s="61"/>
      <c r="E124" s="24"/>
      <c r="F124" s="25"/>
      <c r="G124" s="62"/>
      <c r="H124" s="12"/>
    </row>
    <row r="125" spans="1:10" x14ac:dyDescent="0.2">
      <c r="A125" s="332"/>
      <c r="B125" s="338"/>
      <c r="C125" s="63"/>
      <c r="D125" s="61"/>
      <c r="E125" s="24"/>
      <c r="F125" s="25"/>
      <c r="G125" s="114"/>
      <c r="H125" s="22"/>
    </row>
    <row r="126" spans="1:10" x14ac:dyDescent="0.2">
      <c r="A126" s="332"/>
      <c r="B126" s="338"/>
      <c r="C126" s="64"/>
      <c r="D126" s="23"/>
      <c r="E126" s="24"/>
      <c r="F126" s="25"/>
      <c r="G126" s="114"/>
      <c r="H126" s="22"/>
      <c r="J126" s="106"/>
    </row>
    <row r="127" spans="1:10" x14ac:dyDescent="0.2">
      <c r="A127" s="332"/>
      <c r="B127" s="338"/>
      <c r="C127" s="64"/>
      <c r="D127" s="23"/>
      <c r="E127" s="24"/>
      <c r="F127" s="25"/>
      <c r="G127" s="114"/>
      <c r="H127" s="22"/>
    </row>
    <row r="128" spans="1:10" ht="13.5" thickBot="1" x14ac:dyDescent="0.25">
      <c r="A128" s="375"/>
      <c r="B128" s="376"/>
      <c r="C128" s="65"/>
      <c r="D128" s="42"/>
      <c r="E128" s="42"/>
      <c r="F128" s="42"/>
      <c r="G128" s="115"/>
      <c r="H128" s="37"/>
    </row>
    <row r="129" spans="1:9" ht="13.5" thickBot="1" x14ac:dyDescent="0.25">
      <c r="A129" s="10"/>
      <c r="B129" s="10"/>
      <c r="C129" s="10"/>
      <c r="D129" s="10"/>
      <c r="E129" s="10"/>
      <c r="F129" s="10"/>
      <c r="G129" s="38" t="s">
        <v>14</v>
      </c>
      <c r="H129" s="39">
        <f>ROUNDUP(SUM(G123:G124),0)</f>
        <v>142500</v>
      </c>
    </row>
    <row r="130" spans="1:9" ht="13.5" thickBot="1" x14ac:dyDescent="0.25">
      <c r="A130" s="10"/>
      <c r="B130" s="10"/>
      <c r="C130" s="10"/>
      <c r="D130" s="10"/>
      <c r="E130" s="10"/>
      <c r="F130" s="10"/>
      <c r="G130" s="66"/>
      <c r="H130" s="10"/>
    </row>
    <row r="131" spans="1:9" ht="13.5" thickBot="1" x14ac:dyDescent="0.25">
      <c r="A131" s="10"/>
      <c r="B131" s="10"/>
      <c r="C131" s="10"/>
      <c r="D131" s="10"/>
      <c r="E131" s="8" t="s">
        <v>30</v>
      </c>
      <c r="F131" s="8"/>
      <c r="G131" s="8"/>
      <c r="H131" s="180">
        <f>ROUND(SUM(H100+H113+H120+H129),0)</f>
        <v>924500</v>
      </c>
      <c r="I131" s="142"/>
    </row>
    <row r="132" spans="1:9" x14ac:dyDescent="0.2">
      <c r="A132" s="10"/>
      <c r="B132" s="10"/>
      <c r="C132" s="10"/>
      <c r="D132" s="10"/>
      <c r="E132" s="8"/>
      <c r="F132" s="8"/>
      <c r="G132" s="8"/>
      <c r="H132" s="175"/>
      <c r="I132" s="142"/>
    </row>
    <row r="133" spans="1:9" x14ac:dyDescent="0.2">
      <c r="A133" s="10"/>
      <c r="B133" s="10"/>
      <c r="C133" s="10"/>
      <c r="D133" s="10"/>
      <c r="E133" s="8"/>
      <c r="F133" s="8"/>
      <c r="G133" s="8"/>
      <c r="H133" s="175"/>
      <c r="I133" s="142"/>
    </row>
    <row r="134" spans="1:9" x14ac:dyDescent="0.2">
      <c r="A134" s="10"/>
      <c r="B134" s="10"/>
      <c r="C134" s="10"/>
      <c r="D134" s="10"/>
      <c r="E134" s="8"/>
      <c r="F134" s="8"/>
      <c r="G134" s="8"/>
      <c r="H134" s="175"/>
      <c r="I134" s="142"/>
    </row>
    <row r="135" spans="1:9" ht="13.5" thickBot="1" x14ac:dyDescent="0.25">
      <c r="A135" s="10"/>
      <c r="B135" s="10"/>
      <c r="C135" s="10"/>
      <c r="D135" s="10"/>
      <c r="E135" s="8"/>
      <c r="F135" s="8"/>
      <c r="G135" s="8"/>
      <c r="H135" s="175"/>
      <c r="I135" s="142"/>
    </row>
    <row r="136" spans="1:9" x14ac:dyDescent="0.2">
      <c r="A136" s="4"/>
      <c r="B136" s="5"/>
      <c r="C136" s="6"/>
      <c r="D136" s="339" t="s">
        <v>6</v>
      </c>
      <c r="E136" s="340"/>
      <c r="F136" s="340"/>
      <c r="G136" s="340"/>
      <c r="H136" s="341"/>
      <c r="I136" s="142"/>
    </row>
    <row r="137" spans="1:9" x14ac:dyDescent="0.2">
      <c r="A137" s="7"/>
      <c r="B137" s="8"/>
      <c r="C137" s="9"/>
      <c r="D137" s="342"/>
      <c r="E137" s="343"/>
      <c r="F137" s="343"/>
      <c r="G137" s="343"/>
      <c r="H137" s="344"/>
      <c r="I137" s="142"/>
    </row>
    <row r="138" spans="1:9" ht="44.25" customHeight="1" thickBot="1" x14ac:dyDescent="0.25">
      <c r="A138" s="13"/>
      <c r="B138" s="14"/>
      <c r="C138" s="15"/>
      <c r="D138" s="345"/>
      <c r="E138" s="346"/>
      <c r="F138" s="346"/>
      <c r="G138" s="346"/>
      <c r="H138" s="347"/>
      <c r="I138" s="142"/>
    </row>
    <row r="139" spans="1:9" x14ac:dyDescent="0.2">
      <c r="A139" s="348" t="s">
        <v>41</v>
      </c>
      <c r="B139" s="366" t="s">
        <v>144</v>
      </c>
      <c r="C139" s="367"/>
      <c r="D139" s="367"/>
      <c r="E139" s="367"/>
      <c r="F139" s="368"/>
      <c r="G139" s="348" t="s">
        <v>146</v>
      </c>
      <c r="H139" s="349"/>
      <c r="I139" s="142"/>
    </row>
    <row r="140" spans="1:9" x14ac:dyDescent="0.2">
      <c r="A140" s="350"/>
      <c r="B140" s="369"/>
      <c r="C140" s="370"/>
      <c r="D140" s="370"/>
      <c r="E140" s="370"/>
      <c r="F140" s="371"/>
      <c r="G140" s="350"/>
      <c r="H140" s="351"/>
      <c r="I140" s="142"/>
    </row>
    <row r="141" spans="1:9" ht="13.5" thickBot="1" x14ac:dyDescent="0.25">
      <c r="A141" s="352"/>
      <c r="B141" s="369"/>
      <c r="C141" s="370"/>
      <c r="D141" s="370"/>
      <c r="E141" s="370"/>
      <c r="F141" s="371"/>
      <c r="G141" s="350"/>
      <c r="H141" s="351"/>
      <c r="I141" s="142"/>
    </row>
    <row r="142" spans="1:9" x14ac:dyDescent="0.2">
      <c r="A142" s="68"/>
      <c r="B142" s="369"/>
      <c r="C142" s="370"/>
      <c r="D142" s="370"/>
      <c r="E142" s="370"/>
      <c r="F142" s="371"/>
      <c r="G142" s="350"/>
      <c r="H142" s="351"/>
      <c r="I142" s="142"/>
    </row>
    <row r="143" spans="1:9" ht="13.5" thickBot="1" x14ac:dyDescent="0.25">
      <c r="A143" s="69" t="s">
        <v>8</v>
      </c>
      <c r="B143" s="372"/>
      <c r="C143" s="373"/>
      <c r="D143" s="373"/>
      <c r="E143" s="373"/>
      <c r="F143" s="374"/>
      <c r="G143" s="352"/>
      <c r="H143" s="353"/>
      <c r="I143" s="142"/>
    </row>
    <row r="144" spans="1:9" x14ac:dyDescent="0.2">
      <c r="A144" s="363" t="s">
        <v>9</v>
      </c>
      <c r="B144" s="364"/>
      <c r="C144" s="365"/>
      <c r="D144" s="172" t="s">
        <v>10</v>
      </c>
      <c r="E144" s="172" t="s">
        <v>11</v>
      </c>
      <c r="F144" s="172" t="s">
        <v>12</v>
      </c>
      <c r="G144" s="171" t="s">
        <v>13</v>
      </c>
      <c r="H144" s="18"/>
      <c r="I144" s="142"/>
    </row>
    <row r="145" spans="1:22" x14ac:dyDescent="0.2">
      <c r="A145" s="357" t="s">
        <v>115</v>
      </c>
      <c r="B145" s="358"/>
      <c r="C145" s="359"/>
      <c r="D145" s="19" t="s">
        <v>116</v>
      </c>
      <c r="E145" s="20"/>
      <c r="F145" s="20"/>
      <c r="G145" s="21">
        <f>0.1*H172</f>
        <v>336.6</v>
      </c>
      <c r="H145" s="22"/>
      <c r="I145" s="142"/>
    </row>
    <row r="146" spans="1:22" x14ac:dyDescent="0.2">
      <c r="A146" s="357"/>
      <c r="B146" s="358"/>
      <c r="C146" s="359"/>
      <c r="D146" s="23"/>
      <c r="E146" s="24"/>
      <c r="F146" s="25"/>
      <c r="G146" s="26"/>
      <c r="H146" s="22"/>
      <c r="I146" s="142"/>
    </row>
    <row r="147" spans="1:22" x14ac:dyDescent="0.2">
      <c r="A147" s="27"/>
      <c r="B147" s="28"/>
      <c r="C147" s="29"/>
      <c r="D147" s="30"/>
      <c r="E147" s="24"/>
      <c r="F147" s="25"/>
      <c r="G147" s="26"/>
      <c r="H147" s="22"/>
      <c r="I147" s="142"/>
    </row>
    <row r="148" spans="1:22" x14ac:dyDescent="0.2">
      <c r="A148" s="357"/>
      <c r="B148" s="358"/>
      <c r="C148" s="359"/>
      <c r="D148" s="31"/>
      <c r="E148" s="32"/>
      <c r="F148" s="25"/>
      <c r="G148" s="26"/>
      <c r="H148" s="22"/>
      <c r="I148" s="142"/>
    </row>
    <row r="149" spans="1:22" ht="13.5" thickBot="1" x14ac:dyDescent="0.25">
      <c r="A149" s="360"/>
      <c r="B149" s="361"/>
      <c r="C149" s="362"/>
      <c r="D149" s="33"/>
      <c r="E149" s="34"/>
      <c r="F149" s="35"/>
      <c r="G149" s="36"/>
      <c r="H149" s="37"/>
      <c r="I149" s="142"/>
    </row>
    <row r="150" spans="1:22" ht="13.5" thickBot="1" x14ac:dyDescent="0.25">
      <c r="A150" s="10"/>
      <c r="B150" s="10"/>
      <c r="C150" s="10"/>
      <c r="D150" s="10"/>
      <c r="E150" s="10"/>
      <c r="F150" s="10"/>
      <c r="G150" s="38" t="s">
        <v>14</v>
      </c>
      <c r="H150" s="107">
        <f>ROUNDUP(SUM(G145:G147),0)</f>
        <v>337</v>
      </c>
      <c r="I150" s="142"/>
    </row>
    <row r="151" spans="1:22" ht="13.5" thickBot="1" x14ac:dyDescent="0.25">
      <c r="A151" s="11" t="s">
        <v>15</v>
      </c>
      <c r="B151" s="11"/>
      <c r="C151" s="11"/>
      <c r="D151" s="10"/>
      <c r="E151" s="10"/>
      <c r="F151" s="10"/>
      <c r="G151" s="10"/>
      <c r="H151" s="10"/>
      <c r="I151" s="142"/>
    </row>
    <row r="152" spans="1:22" x14ac:dyDescent="0.2">
      <c r="A152" s="363" t="s">
        <v>9</v>
      </c>
      <c r="B152" s="364"/>
      <c r="C152" s="365"/>
      <c r="D152" s="172" t="s">
        <v>16</v>
      </c>
      <c r="E152" s="172" t="s">
        <v>17</v>
      </c>
      <c r="F152" s="172" t="s">
        <v>18</v>
      </c>
      <c r="G152" s="171" t="s">
        <v>13</v>
      </c>
      <c r="H152" s="18"/>
      <c r="I152" s="142"/>
    </row>
    <row r="153" spans="1:22" x14ac:dyDescent="0.2">
      <c r="A153" s="332" t="s">
        <v>125</v>
      </c>
      <c r="B153" s="333"/>
      <c r="C153" s="334"/>
      <c r="D153" s="23" t="s">
        <v>87</v>
      </c>
      <c r="E153" s="24">
        <v>7500</v>
      </c>
      <c r="F153" s="40">
        <v>0.02</v>
      </c>
      <c r="G153" s="41">
        <f t="shared" ref="G153:G154" si="1">E153*F153</f>
        <v>150</v>
      </c>
      <c r="H153" s="22"/>
      <c r="I153" s="142"/>
    </row>
    <row r="154" spans="1:22" x14ac:dyDescent="0.2">
      <c r="A154" s="332" t="s">
        <v>127</v>
      </c>
      <c r="B154" s="333"/>
      <c r="C154" s="334"/>
      <c r="D154" s="23" t="s">
        <v>87</v>
      </c>
      <c r="E154" s="24">
        <v>5500</v>
      </c>
      <c r="F154" s="40">
        <v>1.05</v>
      </c>
      <c r="G154" s="41">
        <f t="shared" si="1"/>
        <v>5775</v>
      </c>
      <c r="H154" s="22"/>
      <c r="I154" s="142"/>
    </row>
    <row r="155" spans="1:22" x14ac:dyDescent="0.2">
      <c r="A155" s="332"/>
      <c r="B155" s="333"/>
      <c r="C155" s="334"/>
      <c r="D155" s="23"/>
      <c r="E155" s="24"/>
      <c r="F155" s="40"/>
      <c r="G155" s="41"/>
      <c r="H155" s="22"/>
      <c r="I155" s="142"/>
    </row>
    <row r="156" spans="1:22" ht="13.5" thickBot="1" x14ac:dyDescent="0.25">
      <c r="A156" s="335"/>
      <c r="B156" s="336"/>
      <c r="C156" s="337"/>
      <c r="D156" s="43"/>
      <c r="E156" s="44"/>
      <c r="F156" s="35"/>
      <c r="G156" s="36"/>
      <c r="H156" s="37"/>
      <c r="I156" s="142"/>
      <c r="P156" s="332" t="s">
        <v>130</v>
      </c>
      <c r="Q156" s="333"/>
      <c r="R156" s="334"/>
      <c r="S156" s="23" t="s">
        <v>122</v>
      </c>
      <c r="T156" s="24">
        <v>70000</v>
      </c>
      <c r="U156" s="40">
        <v>1.05</v>
      </c>
      <c r="V156" s="41">
        <f>T156*U156</f>
        <v>73500</v>
      </c>
    </row>
    <row r="157" spans="1:22" ht="13.5" thickBot="1" x14ac:dyDescent="0.25">
      <c r="A157" s="10"/>
      <c r="B157" s="10"/>
      <c r="C157" s="10"/>
      <c r="D157" s="10"/>
      <c r="E157" s="10"/>
      <c r="F157" s="10"/>
      <c r="G157" s="38" t="s">
        <v>14</v>
      </c>
      <c r="H157" s="45">
        <f>SUM(G153:G156)</f>
        <v>5925</v>
      </c>
      <c r="I157" s="142"/>
      <c r="P157" s="170"/>
      <c r="Q157" s="173" t="s">
        <v>131</v>
      </c>
      <c r="R157" s="174"/>
      <c r="S157" s="23" t="s">
        <v>132</v>
      </c>
      <c r="T157" s="24"/>
      <c r="U157" s="40">
        <v>5</v>
      </c>
      <c r="V157" s="41"/>
    </row>
    <row r="158" spans="1:22" ht="13.5" thickBot="1" x14ac:dyDescent="0.25">
      <c r="A158" s="46" t="s">
        <v>19</v>
      </c>
      <c r="B158" s="46"/>
      <c r="C158" s="47"/>
      <c r="D158" s="10"/>
      <c r="E158" s="10"/>
      <c r="F158" s="10"/>
      <c r="G158" s="10"/>
      <c r="H158" s="10"/>
      <c r="I158" s="142"/>
    </row>
    <row r="159" spans="1:22" x14ac:dyDescent="0.2">
      <c r="A159" s="110" t="s">
        <v>20</v>
      </c>
      <c r="B159" s="111"/>
      <c r="C159" s="112" t="s">
        <v>21</v>
      </c>
      <c r="D159" s="172" t="s">
        <v>22</v>
      </c>
      <c r="E159" s="172" t="s">
        <v>23</v>
      </c>
      <c r="F159" s="172" t="s">
        <v>24</v>
      </c>
      <c r="G159" s="51" t="s">
        <v>13</v>
      </c>
      <c r="H159" s="52"/>
      <c r="I159" s="142"/>
    </row>
    <row r="160" spans="1:22" x14ac:dyDescent="0.2">
      <c r="A160" s="332"/>
      <c r="B160" s="338"/>
      <c r="C160" s="53"/>
      <c r="D160" s="54"/>
      <c r="E160" s="54"/>
      <c r="F160" s="55"/>
      <c r="G160" s="114"/>
      <c r="H160" s="22"/>
      <c r="I160" s="142"/>
    </row>
    <row r="161" spans="1:9" x14ac:dyDescent="0.2">
      <c r="A161" s="332"/>
      <c r="B161" s="338"/>
      <c r="C161" s="56"/>
      <c r="D161" s="54"/>
      <c r="E161" s="54"/>
      <c r="F161" s="55"/>
      <c r="G161" s="114"/>
      <c r="H161" s="22"/>
      <c r="I161" s="142"/>
    </row>
    <row r="162" spans="1:9" x14ac:dyDescent="0.2">
      <c r="A162" s="332"/>
      <c r="B162" s="338"/>
      <c r="C162" s="50"/>
      <c r="D162" s="23"/>
      <c r="E162" s="57"/>
      <c r="F162" s="25"/>
      <c r="G162" s="114"/>
      <c r="H162" s="22"/>
      <c r="I162" s="142"/>
    </row>
    <row r="163" spans="1:9" ht="13.5" thickBot="1" x14ac:dyDescent="0.25">
      <c r="A163" s="375"/>
      <c r="B163" s="376"/>
      <c r="C163" s="43"/>
      <c r="D163" s="44"/>
      <c r="E163" s="35"/>
      <c r="F163" s="36"/>
      <c r="G163" s="116"/>
      <c r="H163" s="22"/>
      <c r="I163" s="142"/>
    </row>
    <row r="164" spans="1:9" ht="13.5" thickBot="1" x14ac:dyDescent="0.25">
      <c r="A164" s="10"/>
      <c r="B164" s="10"/>
      <c r="C164" s="10"/>
      <c r="D164" s="10"/>
      <c r="E164" s="10"/>
      <c r="F164" s="10"/>
      <c r="G164" s="38" t="s">
        <v>14</v>
      </c>
      <c r="H164" s="58">
        <f>G160</f>
        <v>0</v>
      </c>
      <c r="I164" s="142"/>
    </row>
    <row r="165" spans="1:9" ht="13.5" thickBot="1" x14ac:dyDescent="0.25">
      <c r="A165" s="46" t="s">
        <v>25</v>
      </c>
      <c r="B165" s="46"/>
      <c r="C165" s="10"/>
      <c r="D165" s="10"/>
      <c r="E165" s="10"/>
      <c r="F165" s="10"/>
      <c r="G165" s="10"/>
      <c r="H165" s="10"/>
      <c r="I165" s="142"/>
    </row>
    <row r="166" spans="1:9" x14ac:dyDescent="0.2">
      <c r="A166" s="110" t="s">
        <v>26</v>
      </c>
      <c r="B166" s="111"/>
      <c r="C166" s="59" t="s">
        <v>27</v>
      </c>
      <c r="D166" s="172" t="s">
        <v>28</v>
      </c>
      <c r="E166" s="172" t="s">
        <v>29</v>
      </c>
      <c r="F166" s="172" t="s">
        <v>12</v>
      </c>
      <c r="G166" s="51" t="s">
        <v>13</v>
      </c>
      <c r="H166" s="18"/>
      <c r="I166" s="142"/>
    </row>
    <row r="167" spans="1:9" x14ac:dyDescent="0.2">
      <c r="A167" s="357" t="s">
        <v>129</v>
      </c>
      <c r="B167" s="377"/>
      <c r="C167" s="60">
        <f>100%*E167/D167</f>
        <v>217582.41758241758</v>
      </c>
      <c r="D167" s="61">
        <v>1.82</v>
      </c>
      <c r="E167" s="24">
        <v>396000</v>
      </c>
      <c r="F167" s="25">
        <v>8.5000000000000006E-3</v>
      </c>
      <c r="G167" s="62">
        <f>E167*F167</f>
        <v>3366.0000000000005</v>
      </c>
      <c r="H167" s="12"/>
      <c r="I167" s="142"/>
    </row>
    <row r="168" spans="1:9" x14ac:dyDescent="0.2">
      <c r="A168" s="332"/>
      <c r="B168" s="338"/>
      <c r="C168" s="63"/>
      <c r="D168" s="61"/>
      <c r="E168" s="24"/>
      <c r="F168" s="25"/>
      <c r="G168" s="114"/>
      <c r="H168" s="22"/>
      <c r="I168" s="142"/>
    </row>
    <row r="169" spans="1:9" x14ac:dyDescent="0.2">
      <c r="A169" s="332"/>
      <c r="B169" s="338"/>
      <c r="C169" s="64"/>
      <c r="D169" s="23"/>
      <c r="E169" s="24"/>
      <c r="F169" s="25"/>
      <c r="G169" s="114"/>
      <c r="H169" s="22"/>
      <c r="I169" s="142"/>
    </row>
    <row r="170" spans="1:9" x14ac:dyDescent="0.2">
      <c r="A170" s="332"/>
      <c r="B170" s="338"/>
      <c r="C170" s="64"/>
      <c r="D170" s="23"/>
      <c r="E170" s="24"/>
      <c r="F170" s="25"/>
      <c r="G170" s="114"/>
      <c r="H170" s="22"/>
      <c r="I170" s="142"/>
    </row>
    <row r="171" spans="1:9" ht="13.5" thickBot="1" x14ac:dyDescent="0.25">
      <c r="A171" s="375"/>
      <c r="B171" s="376"/>
      <c r="C171" s="65"/>
      <c r="D171" s="42"/>
      <c r="E171" s="42"/>
      <c r="F171" s="42"/>
      <c r="G171" s="115"/>
      <c r="H171" s="37"/>
      <c r="I171" s="142"/>
    </row>
    <row r="172" spans="1:9" ht="13.5" thickBot="1" x14ac:dyDescent="0.25">
      <c r="A172" s="10"/>
      <c r="B172" s="10"/>
      <c r="C172" s="10"/>
      <c r="D172" s="10"/>
      <c r="E172" s="10"/>
      <c r="F172" s="10"/>
      <c r="G172" s="38" t="s">
        <v>14</v>
      </c>
      <c r="H172" s="39">
        <f>ROUNDUP(SUM(G167:G167),0)</f>
        <v>3366</v>
      </c>
      <c r="I172" s="142"/>
    </row>
    <row r="173" spans="1:9" ht="13.5" thickBot="1" x14ac:dyDescent="0.25">
      <c r="A173" s="10"/>
      <c r="B173" s="10"/>
      <c r="C173" s="10"/>
      <c r="D173" s="10"/>
      <c r="E173" s="10"/>
      <c r="F173" s="10"/>
      <c r="G173" s="66"/>
      <c r="H173" s="10"/>
      <c r="I173" s="142"/>
    </row>
    <row r="174" spans="1:9" ht="13.5" thickBot="1" x14ac:dyDescent="0.25">
      <c r="A174" s="10"/>
      <c r="B174" s="10"/>
      <c r="C174" s="10"/>
      <c r="D174" s="10"/>
      <c r="E174" s="8" t="s">
        <v>30</v>
      </c>
      <c r="F174" s="8"/>
      <c r="G174" s="8"/>
      <c r="H174" s="108">
        <f>ROUND(SUM(H150+H157+H164+H172),0)</f>
        <v>9628</v>
      </c>
      <c r="I174" s="142"/>
    </row>
    <row r="175" spans="1:9" x14ac:dyDescent="0.2">
      <c r="A175" s="10"/>
      <c r="B175" s="10"/>
      <c r="C175" s="10"/>
      <c r="D175" s="10"/>
      <c r="E175" s="8"/>
      <c r="F175" s="8"/>
      <c r="G175" s="8"/>
      <c r="H175" s="175"/>
      <c r="I175" s="142"/>
    </row>
    <row r="176" spans="1:9" x14ac:dyDescent="0.2">
      <c r="A176" s="10"/>
      <c r="B176" s="10"/>
      <c r="C176" s="10"/>
      <c r="D176" s="10"/>
      <c r="E176" s="8"/>
      <c r="F176" s="8"/>
      <c r="G176" s="8"/>
      <c r="H176" s="175"/>
      <c r="I176" s="142"/>
    </row>
    <row r="177" spans="1:9" x14ac:dyDescent="0.2">
      <c r="A177" s="10"/>
      <c r="B177" s="10"/>
      <c r="C177" s="10"/>
      <c r="D177" s="10"/>
      <c r="E177" s="8"/>
      <c r="F177" s="8"/>
      <c r="G177" s="8"/>
      <c r="H177" s="175"/>
      <c r="I177" s="142"/>
    </row>
    <row r="178" spans="1:9" ht="13.5" thickBot="1" x14ac:dyDescent="0.25">
      <c r="A178" s="10"/>
      <c r="B178" s="10"/>
      <c r="C178" s="10"/>
      <c r="D178" s="10"/>
      <c r="E178" s="8"/>
      <c r="F178" s="8"/>
      <c r="G178" s="8"/>
      <c r="H178" s="175"/>
      <c r="I178" s="142"/>
    </row>
    <row r="179" spans="1:9" x14ac:dyDescent="0.2">
      <c r="A179" s="4"/>
      <c r="B179" s="5"/>
      <c r="C179" s="6"/>
      <c r="D179" s="339" t="s">
        <v>6</v>
      </c>
      <c r="E179" s="340"/>
      <c r="F179" s="340"/>
      <c r="G179" s="340"/>
      <c r="H179" s="341"/>
      <c r="I179" s="142"/>
    </row>
    <row r="180" spans="1:9" x14ac:dyDescent="0.2">
      <c r="A180" s="7"/>
      <c r="B180" s="8"/>
      <c r="C180" s="9"/>
      <c r="D180" s="342"/>
      <c r="E180" s="343"/>
      <c r="F180" s="343"/>
      <c r="G180" s="343"/>
      <c r="H180" s="344"/>
      <c r="I180" s="142"/>
    </row>
    <row r="181" spans="1:9" ht="40.5" customHeight="1" thickBot="1" x14ac:dyDescent="0.25">
      <c r="A181" s="13"/>
      <c r="B181" s="14"/>
      <c r="C181" s="15"/>
      <c r="D181" s="345"/>
      <c r="E181" s="346"/>
      <c r="F181" s="346"/>
      <c r="G181" s="346"/>
      <c r="H181" s="347"/>
      <c r="I181" s="142"/>
    </row>
    <row r="182" spans="1:9" x14ac:dyDescent="0.2">
      <c r="A182" s="348" t="s">
        <v>85</v>
      </c>
      <c r="B182" s="366" t="s">
        <v>149</v>
      </c>
      <c r="C182" s="367"/>
      <c r="D182" s="367"/>
      <c r="E182" s="367"/>
      <c r="F182" s="368"/>
      <c r="G182" s="348" t="s">
        <v>155</v>
      </c>
      <c r="H182" s="349"/>
      <c r="I182" s="142"/>
    </row>
    <row r="183" spans="1:9" x14ac:dyDescent="0.2">
      <c r="A183" s="350"/>
      <c r="B183" s="369"/>
      <c r="C183" s="370"/>
      <c r="D183" s="370"/>
      <c r="E183" s="370"/>
      <c r="F183" s="371"/>
      <c r="G183" s="350"/>
      <c r="H183" s="351"/>
      <c r="I183" s="142"/>
    </row>
    <row r="184" spans="1:9" ht="13.5" thickBot="1" x14ac:dyDescent="0.25">
      <c r="A184" s="352"/>
      <c r="B184" s="369"/>
      <c r="C184" s="370"/>
      <c r="D184" s="370"/>
      <c r="E184" s="370"/>
      <c r="F184" s="371"/>
      <c r="G184" s="350"/>
      <c r="H184" s="351"/>
      <c r="I184" s="142"/>
    </row>
    <row r="185" spans="1:9" x14ac:dyDescent="0.2">
      <c r="A185" s="68"/>
      <c r="B185" s="369"/>
      <c r="C185" s="370"/>
      <c r="D185" s="370"/>
      <c r="E185" s="370"/>
      <c r="F185" s="371"/>
      <c r="G185" s="350"/>
      <c r="H185" s="351"/>
      <c r="I185" s="142"/>
    </row>
    <row r="186" spans="1:9" ht="13.5" thickBot="1" x14ac:dyDescent="0.25">
      <c r="A186" s="69" t="s">
        <v>8</v>
      </c>
      <c r="B186" s="372"/>
      <c r="C186" s="373"/>
      <c r="D186" s="373"/>
      <c r="E186" s="373"/>
      <c r="F186" s="374"/>
      <c r="G186" s="352"/>
      <c r="H186" s="353"/>
      <c r="I186" s="142"/>
    </row>
    <row r="187" spans="1:9" x14ac:dyDescent="0.2">
      <c r="A187" s="363" t="s">
        <v>9</v>
      </c>
      <c r="B187" s="364"/>
      <c r="C187" s="365"/>
      <c r="D187" s="172" t="s">
        <v>10</v>
      </c>
      <c r="E187" s="172" t="s">
        <v>11</v>
      </c>
      <c r="F187" s="172" t="s">
        <v>12</v>
      </c>
      <c r="G187" s="171" t="s">
        <v>13</v>
      </c>
      <c r="H187" s="18"/>
      <c r="I187" s="142"/>
    </row>
    <row r="188" spans="1:9" x14ac:dyDescent="0.2">
      <c r="A188" s="357" t="s">
        <v>115</v>
      </c>
      <c r="B188" s="358"/>
      <c r="C188" s="359"/>
      <c r="D188" s="19" t="s">
        <v>116</v>
      </c>
      <c r="E188" s="20">
        <v>20000</v>
      </c>
      <c r="F188" s="20">
        <v>0.2</v>
      </c>
      <c r="G188" s="21">
        <f>E188*F188</f>
        <v>4000</v>
      </c>
      <c r="H188" s="22"/>
      <c r="I188" s="142"/>
    </row>
    <row r="189" spans="1:9" x14ac:dyDescent="0.2">
      <c r="A189" s="357"/>
      <c r="B189" s="358"/>
      <c r="C189" s="359"/>
      <c r="D189" s="23"/>
      <c r="E189" s="24"/>
      <c r="F189" s="25"/>
      <c r="G189" s="26"/>
      <c r="H189" s="22"/>
      <c r="I189" s="142"/>
    </row>
    <row r="190" spans="1:9" x14ac:dyDescent="0.2">
      <c r="A190" s="27"/>
      <c r="B190" s="28"/>
      <c r="C190" s="29"/>
      <c r="D190" s="30"/>
      <c r="E190" s="24"/>
      <c r="F190" s="25"/>
      <c r="G190" s="26"/>
      <c r="H190" s="22"/>
      <c r="I190" s="142"/>
    </row>
    <row r="191" spans="1:9" x14ac:dyDescent="0.2">
      <c r="A191" s="357"/>
      <c r="B191" s="358"/>
      <c r="C191" s="359"/>
      <c r="D191" s="31"/>
      <c r="E191" s="32"/>
      <c r="F191" s="25"/>
      <c r="G191" s="26"/>
      <c r="H191" s="22"/>
      <c r="I191" s="142"/>
    </row>
    <row r="192" spans="1:9" ht="13.5" thickBot="1" x14ac:dyDescent="0.25">
      <c r="A192" s="360"/>
      <c r="B192" s="361"/>
      <c r="C192" s="362"/>
      <c r="D192" s="33"/>
      <c r="E192" s="34"/>
      <c r="F192" s="35"/>
      <c r="G192" s="36"/>
      <c r="H192" s="37"/>
      <c r="I192" s="142"/>
    </row>
    <row r="193" spans="1:9" ht="13.5" thickBot="1" x14ac:dyDescent="0.25">
      <c r="A193" s="10"/>
      <c r="B193" s="10"/>
      <c r="C193" s="10"/>
      <c r="D193" s="10"/>
      <c r="E193" s="10"/>
      <c r="F193" s="10"/>
      <c r="G193" s="38" t="s">
        <v>14</v>
      </c>
      <c r="H193" s="107">
        <f>ROUNDUP(SUM(G188:G190),0)</f>
        <v>4000</v>
      </c>
      <c r="I193" s="142"/>
    </row>
    <row r="194" spans="1:9" ht="13.5" thickBot="1" x14ac:dyDescent="0.25">
      <c r="A194" s="11" t="s">
        <v>15</v>
      </c>
      <c r="B194" s="11"/>
      <c r="C194" s="11"/>
      <c r="D194" s="10"/>
      <c r="E194" s="10"/>
      <c r="F194" s="10"/>
      <c r="G194" s="10"/>
      <c r="H194" s="10"/>
      <c r="I194" s="142"/>
    </row>
    <row r="195" spans="1:9" x14ac:dyDescent="0.2">
      <c r="A195" s="363" t="s">
        <v>9</v>
      </c>
      <c r="B195" s="364"/>
      <c r="C195" s="365"/>
      <c r="D195" s="172" t="s">
        <v>16</v>
      </c>
      <c r="E195" s="172" t="s">
        <v>17</v>
      </c>
      <c r="F195" s="172" t="s">
        <v>18</v>
      </c>
      <c r="G195" s="171" t="s">
        <v>13</v>
      </c>
      <c r="H195" s="18"/>
      <c r="I195" s="142"/>
    </row>
    <row r="196" spans="1:9" x14ac:dyDescent="0.2">
      <c r="A196" s="332" t="s">
        <v>151</v>
      </c>
      <c r="B196" s="333"/>
      <c r="C196" s="334"/>
      <c r="D196" s="23" t="s">
        <v>4</v>
      </c>
      <c r="E196" s="24">
        <v>6000</v>
      </c>
      <c r="F196" s="40">
        <v>1.05</v>
      </c>
      <c r="G196" s="41">
        <f>E196*F196</f>
        <v>6300</v>
      </c>
      <c r="H196" s="22"/>
      <c r="I196" s="142"/>
    </row>
    <row r="197" spans="1:9" x14ac:dyDescent="0.2">
      <c r="A197" s="332" t="s">
        <v>152</v>
      </c>
      <c r="B197" s="333"/>
      <c r="C197" s="334"/>
      <c r="D197" s="23" t="s">
        <v>34</v>
      </c>
      <c r="E197" s="24">
        <v>70000</v>
      </c>
      <c r="F197" s="40">
        <v>0.25</v>
      </c>
      <c r="G197" s="41">
        <f t="shared" ref="G197:G198" si="2">E197*F197</f>
        <v>17500</v>
      </c>
      <c r="H197" s="22"/>
      <c r="I197" s="142"/>
    </row>
    <row r="198" spans="1:9" x14ac:dyDescent="0.2">
      <c r="A198" s="332" t="s">
        <v>153</v>
      </c>
      <c r="B198" s="333"/>
      <c r="C198" s="334"/>
      <c r="D198" s="23" t="s">
        <v>154</v>
      </c>
      <c r="E198" s="24">
        <v>25000</v>
      </c>
      <c r="F198" s="40">
        <v>0.4</v>
      </c>
      <c r="G198" s="41">
        <f t="shared" si="2"/>
        <v>10000</v>
      </c>
      <c r="H198" s="22"/>
      <c r="I198" s="142"/>
    </row>
    <row r="199" spans="1:9" ht="13.5" thickBot="1" x14ac:dyDescent="0.25">
      <c r="A199" s="335"/>
      <c r="B199" s="336"/>
      <c r="C199" s="337"/>
      <c r="D199" s="43"/>
      <c r="E199" s="44"/>
      <c r="F199" s="35"/>
      <c r="G199" s="36"/>
      <c r="H199" s="37"/>
      <c r="I199" s="142"/>
    </row>
    <row r="200" spans="1:9" ht="13.5" thickBot="1" x14ac:dyDescent="0.25">
      <c r="A200" s="10"/>
      <c r="B200" s="10"/>
      <c r="C200" s="10"/>
      <c r="D200" s="10"/>
      <c r="E200" s="10"/>
      <c r="F200" s="10"/>
      <c r="G200" s="38" t="s">
        <v>14</v>
      </c>
      <c r="H200" s="45">
        <f>SUM(G196:G199)</f>
        <v>33800</v>
      </c>
      <c r="I200" s="142"/>
    </row>
    <row r="201" spans="1:9" ht="13.5" thickBot="1" x14ac:dyDescent="0.25">
      <c r="A201" s="46" t="s">
        <v>19</v>
      </c>
      <c r="B201" s="46"/>
      <c r="C201" s="47"/>
      <c r="D201" s="10"/>
      <c r="E201" s="10"/>
      <c r="F201" s="10"/>
      <c r="G201" s="10"/>
      <c r="H201" s="10"/>
      <c r="I201" s="142"/>
    </row>
    <row r="202" spans="1:9" x14ac:dyDescent="0.2">
      <c r="A202" s="110" t="s">
        <v>20</v>
      </c>
      <c r="B202" s="111"/>
      <c r="C202" s="112" t="s">
        <v>21</v>
      </c>
      <c r="D202" s="172" t="s">
        <v>22</v>
      </c>
      <c r="E202" s="172" t="s">
        <v>23</v>
      </c>
      <c r="F202" s="172" t="s">
        <v>24</v>
      </c>
      <c r="G202" s="51" t="s">
        <v>13</v>
      </c>
      <c r="H202" s="52"/>
      <c r="I202" s="142"/>
    </row>
    <row r="203" spans="1:9" x14ac:dyDescent="0.2">
      <c r="A203" s="332" t="s">
        <v>128</v>
      </c>
      <c r="B203" s="338"/>
      <c r="C203" s="53">
        <v>0.05</v>
      </c>
      <c r="D203" s="54" t="s">
        <v>34</v>
      </c>
      <c r="E203" s="54">
        <v>11</v>
      </c>
      <c r="F203" s="55">
        <v>1000</v>
      </c>
      <c r="G203" s="114">
        <f>C203*E203*F203</f>
        <v>550</v>
      </c>
      <c r="H203" s="22"/>
      <c r="I203" s="142"/>
    </row>
    <row r="204" spans="1:9" x14ac:dyDescent="0.2">
      <c r="A204" s="332"/>
      <c r="B204" s="338"/>
      <c r="C204" s="56"/>
      <c r="D204" s="54"/>
      <c r="E204" s="54"/>
      <c r="F204" s="55"/>
      <c r="G204" s="114"/>
      <c r="H204" s="22"/>
      <c r="I204" s="142"/>
    </row>
    <row r="205" spans="1:9" x14ac:dyDescent="0.2">
      <c r="A205" s="332"/>
      <c r="B205" s="338"/>
      <c r="C205" s="50"/>
      <c r="D205" s="23"/>
      <c r="E205" s="57"/>
      <c r="F205" s="25"/>
      <c r="G205" s="114"/>
      <c r="H205" s="22"/>
      <c r="I205" s="142"/>
    </row>
    <row r="206" spans="1:9" ht="13.5" thickBot="1" x14ac:dyDescent="0.25">
      <c r="A206" s="375"/>
      <c r="B206" s="376"/>
      <c r="C206" s="43"/>
      <c r="D206" s="44"/>
      <c r="E206" s="35"/>
      <c r="F206" s="36"/>
      <c r="G206" s="116"/>
      <c r="H206" s="22"/>
      <c r="I206" s="142"/>
    </row>
    <row r="207" spans="1:9" ht="13.5" thickBot="1" x14ac:dyDescent="0.25">
      <c r="A207" s="10"/>
      <c r="B207" s="10"/>
      <c r="C207" s="10"/>
      <c r="D207" s="10"/>
      <c r="E207" s="10"/>
      <c r="F207" s="10"/>
      <c r="G207" s="38" t="s">
        <v>14</v>
      </c>
      <c r="H207" s="58">
        <f>G203</f>
        <v>550</v>
      </c>
      <c r="I207" s="142"/>
    </row>
    <row r="208" spans="1:9" ht="13.5" thickBot="1" x14ac:dyDescent="0.25">
      <c r="A208" s="46" t="s">
        <v>25</v>
      </c>
      <c r="B208" s="46"/>
      <c r="C208" s="10"/>
      <c r="D208" s="10"/>
      <c r="E208" s="10"/>
      <c r="F208" s="10"/>
      <c r="G208" s="10"/>
      <c r="H208" s="10"/>
      <c r="I208" s="142"/>
    </row>
    <row r="209" spans="1:9" x14ac:dyDescent="0.2">
      <c r="A209" s="110" t="s">
        <v>26</v>
      </c>
      <c r="B209" s="111"/>
      <c r="C209" s="59" t="s">
        <v>27</v>
      </c>
      <c r="D209" s="172" t="s">
        <v>28</v>
      </c>
      <c r="E209" s="172" t="s">
        <v>29</v>
      </c>
      <c r="F209" s="172" t="s">
        <v>12</v>
      </c>
      <c r="G209" s="51" t="s">
        <v>13</v>
      </c>
      <c r="H209" s="18"/>
      <c r="I209" s="142"/>
    </row>
    <row r="210" spans="1:9" x14ac:dyDescent="0.2">
      <c r="A210" s="357" t="s">
        <v>150</v>
      </c>
      <c r="B210" s="377"/>
      <c r="C210" s="60">
        <f>100%*E210/D210</f>
        <v>217582.41758241758</v>
      </c>
      <c r="D210" s="61">
        <v>1.82</v>
      </c>
      <c r="E210" s="24">
        <v>396000</v>
      </c>
      <c r="F210" s="25">
        <v>1.4999999999999999E-2</v>
      </c>
      <c r="G210" s="62">
        <f>E210*F210</f>
        <v>5940</v>
      </c>
      <c r="H210" s="12"/>
      <c r="I210" s="142"/>
    </row>
    <row r="211" spans="1:9" x14ac:dyDescent="0.2">
      <c r="A211" s="332"/>
      <c r="B211" s="338"/>
      <c r="C211" s="63"/>
      <c r="D211" s="61"/>
      <c r="E211" s="24"/>
      <c r="F211" s="25"/>
      <c r="G211" s="114"/>
      <c r="H211" s="22"/>
      <c r="I211" s="142"/>
    </row>
    <row r="212" spans="1:9" x14ac:dyDescent="0.2">
      <c r="A212" s="332"/>
      <c r="B212" s="338"/>
      <c r="C212" s="64"/>
      <c r="D212" s="23"/>
      <c r="E212" s="24"/>
      <c r="F212" s="25"/>
      <c r="G212" s="114"/>
      <c r="H212" s="22"/>
      <c r="I212" s="142"/>
    </row>
    <row r="213" spans="1:9" x14ac:dyDescent="0.2">
      <c r="A213" s="332"/>
      <c r="B213" s="338"/>
      <c r="C213" s="64"/>
      <c r="D213" s="23"/>
      <c r="E213" s="24"/>
      <c r="F213" s="25"/>
      <c r="G213" s="114"/>
      <c r="H213" s="22"/>
      <c r="I213" s="142"/>
    </row>
    <row r="214" spans="1:9" ht="13.5" thickBot="1" x14ac:dyDescent="0.25">
      <c r="A214" s="375"/>
      <c r="B214" s="376"/>
      <c r="C214" s="65"/>
      <c r="D214" s="42"/>
      <c r="E214" s="42"/>
      <c r="F214" s="42"/>
      <c r="G214" s="115"/>
      <c r="H214" s="37"/>
      <c r="I214" s="142"/>
    </row>
    <row r="215" spans="1:9" ht="13.5" thickBot="1" x14ac:dyDescent="0.25">
      <c r="A215" s="10"/>
      <c r="B215" s="10"/>
      <c r="C215" s="10"/>
      <c r="D215" s="10"/>
      <c r="E215" s="10"/>
      <c r="F215" s="10"/>
      <c r="G215" s="38" t="s">
        <v>14</v>
      </c>
      <c r="H215" s="39">
        <f>ROUNDUP(SUM(G210:G210),0)</f>
        <v>5940</v>
      </c>
      <c r="I215" s="142"/>
    </row>
    <row r="216" spans="1:9" ht="13.5" thickBot="1" x14ac:dyDescent="0.25">
      <c r="A216" s="10"/>
      <c r="B216" s="10"/>
      <c r="C216" s="10"/>
      <c r="D216" s="10"/>
      <c r="E216" s="10"/>
      <c r="F216" s="10"/>
      <c r="G216" s="66"/>
      <c r="H216" s="10"/>
      <c r="I216" s="142"/>
    </row>
    <row r="217" spans="1:9" ht="13.5" thickBot="1" x14ac:dyDescent="0.25">
      <c r="A217" s="10"/>
      <c r="B217" s="10"/>
      <c r="C217" s="10"/>
      <c r="D217" s="10"/>
      <c r="E217" s="8" t="s">
        <v>30</v>
      </c>
      <c r="F217" s="8"/>
      <c r="G217" s="8"/>
      <c r="H217" s="108">
        <f>ROUND(SUM(H193+H200+H207+H215),0)</f>
        <v>44290</v>
      </c>
      <c r="I217" s="142"/>
    </row>
    <row r="218" spans="1:9" x14ac:dyDescent="0.2">
      <c r="A218" s="10"/>
      <c r="B218" s="10"/>
      <c r="C218" s="10"/>
      <c r="D218" s="10"/>
      <c r="E218" s="8"/>
      <c r="F218" s="8"/>
      <c r="G218" s="8"/>
      <c r="H218" s="175"/>
      <c r="I218" s="142"/>
    </row>
    <row r="219" spans="1:9" x14ac:dyDescent="0.2">
      <c r="A219" s="10"/>
      <c r="B219" s="10"/>
      <c r="C219" s="10"/>
      <c r="D219" s="10"/>
      <c r="E219" s="8"/>
      <c r="F219" s="8"/>
      <c r="G219" s="8"/>
      <c r="H219" s="175"/>
      <c r="I219" s="142"/>
    </row>
    <row r="220" spans="1:9" x14ac:dyDescent="0.2">
      <c r="A220" s="10"/>
      <c r="B220" s="10"/>
      <c r="C220" s="10"/>
      <c r="D220" s="10"/>
      <c r="E220" s="8"/>
      <c r="F220" s="8"/>
      <c r="G220" s="8"/>
      <c r="H220" s="175"/>
      <c r="I220" s="142"/>
    </row>
    <row r="222" spans="1:9" ht="13.5" thickBot="1" x14ac:dyDescent="0.25"/>
    <row r="223" spans="1:9" x14ac:dyDescent="0.2">
      <c r="A223" s="4"/>
      <c r="B223" s="5"/>
      <c r="C223" s="70"/>
      <c r="D223" s="339" t="s">
        <v>6</v>
      </c>
      <c r="E223" s="340"/>
      <c r="F223" s="340"/>
      <c r="G223" s="340"/>
      <c r="H223" s="341"/>
    </row>
    <row r="224" spans="1:9" x14ac:dyDescent="0.2">
      <c r="A224" s="7"/>
      <c r="B224" s="8"/>
      <c r="C224" s="9"/>
      <c r="D224" s="342"/>
      <c r="E224" s="343"/>
      <c r="F224" s="343"/>
      <c r="G224" s="343"/>
      <c r="H224" s="344"/>
    </row>
    <row r="225" spans="1:8" ht="45" customHeight="1" thickBot="1" x14ac:dyDescent="0.25">
      <c r="A225" s="13"/>
      <c r="B225" s="14"/>
      <c r="C225" s="15"/>
      <c r="D225" s="345"/>
      <c r="E225" s="346"/>
      <c r="F225" s="346"/>
      <c r="G225" s="346"/>
      <c r="H225" s="347"/>
    </row>
    <row r="226" spans="1:8" x14ac:dyDescent="0.2">
      <c r="A226" s="384" t="s">
        <v>86</v>
      </c>
      <c r="B226" s="366" t="s">
        <v>160</v>
      </c>
      <c r="C226" s="367"/>
      <c r="D226" s="367"/>
      <c r="E226" s="367"/>
      <c r="F226" s="368"/>
      <c r="G226" s="339" t="s">
        <v>7</v>
      </c>
      <c r="H226" s="341"/>
    </row>
    <row r="227" spans="1:8" ht="37.5" customHeight="1" thickBot="1" x14ac:dyDescent="0.25">
      <c r="A227" s="385"/>
      <c r="B227" s="372"/>
      <c r="C227" s="373"/>
      <c r="D227" s="373"/>
      <c r="E227" s="373"/>
      <c r="F227" s="374"/>
      <c r="G227" s="345"/>
      <c r="H227" s="347"/>
    </row>
    <row r="228" spans="1:8" ht="13.5" thickBot="1" x14ac:dyDescent="0.25">
      <c r="A228" s="11" t="s">
        <v>8</v>
      </c>
      <c r="B228" s="11"/>
      <c r="C228" s="10"/>
      <c r="D228" s="10"/>
      <c r="E228" s="10"/>
      <c r="F228" s="10"/>
      <c r="H228" s="10"/>
    </row>
    <row r="229" spans="1:8" x14ac:dyDescent="0.2">
      <c r="A229" s="363" t="s">
        <v>9</v>
      </c>
      <c r="B229" s="364"/>
      <c r="C229" s="383"/>
      <c r="D229" s="141" t="s">
        <v>10</v>
      </c>
      <c r="E229" s="71" t="s">
        <v>11</v>
      </c>
      <c r="F229" s="141" t="s">
        <v>12</v>
      </c>
      <c r="G229" s="140" t="s">
        <v>13</v>
      </c>
      <c r="H229" s="18"/>
    </row>
    <row r="230" spans="1:8" x14ac:dyDescent="0.2">
      <c r="A230" s="357" t="s">
        <v>33</v>
      </c>
      <c r="B230" s="358"/>
      <c r="C230" s="377"/>
      <c r="D230" s="72"/>
      <c r="E230" s="73">
        <v>30000</v>
      </c>
      <c r="F230" s="73">
        <v>20</v>
      </c>
      <c r="G230" s="74">
        <f>E230/F230</f>
        <v>1500</v>
      </c>
      <c r="H230" s="75"/>
    </row>
    <row r="231" spans="1:8" x14ac:dyDescent="0.2">
      <c r="A231" s="357" t="s">
        <v>157</v>
      </c>
      <c r="B231" s="358"/>
      <c r="C231" s="377"/>
      <c r="D231" s="76" t="s">
        <v>119</v>
      </c>
      <c r="E231" s="77">
        <v>16000</v>
      </c>
      <c r="F231" s="73">
        <v>0.2</v>
      </c>
      <c r="G231" s="78">
        <f>E231*F231</f>
        <v>3200</v>
      </c>
      <c r="H231" s="22"/>
    </row>
    <row r="232" spans="1:8" x14ac:dyDescent="0.2">
      <c r="A232" s="357" t="s">
        <v>158</v>
      </c>
      <c r="B232" s="358"/>
      <c r="C232" s="377"/>
      <c r="D232" s="76" t="s">
        <v>120</v>
      </c>
      <c r="E232" s="79">
        <v>12000</v>
      </c>
      <c r="F232" s="80">
        <v>0.1</v>
      </c>
      <c r="G232" s="78">
        <f>E232*F232</f>
        <v>1200</v>
      </c>
      <c r="H232" s="22"/>
    </row>
    <row r="233" spans="1:8" ht="13.5" thickBot="1" x14ac:dyDescent="0.25">
      <c r="A233" s="360"/>
      <c r="B233" s="361"/>
      <c r="C233" s="382"/>
      <c r="D233" s="81"/>
      <c r="E233" s="82"/>
      <c r="F233" s="83"/>
      <c r="G233" s="84"/>
      <c r="H233" s="37"/>
    </row>
    <row r="234" spans="1:8" ht="13.5" thickBot="1" x14ac:dyDescent="0.25">
      <c r="A234" s="10"/>
      <c r="B234" s="10"/>
      <c r="C234" s="10"/>
      <c r="D234" s="10"/>
      <c r="E234" s="10"/>
      <c r="F234" s="10"/>
      <c r="G234" s="38" t="s">
        <v>14</v>
      </c>
      <c r="H234" s="67">
        <f>SUM(G230:G233)</f>
        <v>5900</v>
      </c>
    </row>
    <row r="235" spans="1:8" ht="13.5" thickBot="1" x14ac:dyDescent="0.25">
      <c r="A235" s="11" t="s">
        <v>15</v>
      </c>
      <c r="B235" s="11"/>
      <c r="C235" s="10"/>
      <c r="D235" s="10"/>
      <c r="E235" s="10"/>
      <c r="F235" s="10"/>
      <c r="G235" s="10"/>
      <c r="H235" s="10"/>
    </row>
    <row r="236" spans="1:8" x14ac:dyDescent="0.2">
      <c r="A236" s="363" t="s">
        <v>9</v>
      </c>
      <c r="B236" s="364"/>
      <c r="C236" s="383"/>
      <c r="D236" s="141" t="s">
        <v>16</v>
      </c>
      <c r="E236" s="141" t="s">
        <v>17</v>
      </c>
      <c r="F236" s="141" t="s">
        <v>18</v>
      </c>
      <c r="G236" s="140" t="s">
        <v>13</v>
      </c>
      <c r="H236" s="18"/>
    </row>
    <row r="237" spans="1:8" x14ac:dyDescent="0.2">
      <c r="A237" s="356"/>
      <c r="B237" s="356"/>
      <c r="C237" s="381"/>
      <c r="D237" s="72"/>
      <c r="E237" s="85"/>
      <c r="F237" s="86"/>
      <c r="G237" s="78"/>
      <c r="H237" s="22"/>
    </row>
    <row r="238" spans="1:8" x14ac:dyDescent="0.2">
      <c r="A238" s="356"/>
      <c r="B238" s="356"/>
      <c r="C238" s="381"/>
      <c r="D238" s="72"/>
      <c r="E238" s="85"/>
      <c r="F238" s="86"/>
      <c r="G238" s="78"/>
      <c r="H238" s="22"/>
    </row>
    <row r="239" spans="1:8" x14ac:dyDescent="0.2">
      <c r="A239" s="356"/>
      <c r="B239" s="356"/>
      <c r="C239" s="381"/>
      <c r="D239" s="72"/>
      <c r="E239" s="85"/>
      <c r="F239" s="86"/>
      <c r="G239" s="78"/>
      <c r="H239" s="22"/>
    </row>
    <row r="240" spans="1:8" x14ac:dyDescent="0.2">
      <c r="A240" s="356"/>
      <c r="B240" s="356"/>
      <c r="C240" s="381"/>
      <c r="D240" s="72"/>
      <c r="E240" s="85"/>
      <c r="F240" s="86"/>
      <c r="G240" s="78"/>
      <c r="H240" s="22"/>
    </row>
    <row r="241" spans="1:8" ht="13.5" thickBot="1" x14ac:dyDescent="0.25">
      <c r="A241" s="356"/>
      <c r="B241" s="356"/>
      <c r="C241" s="381"/>
      <c r="D241" s="81"/>
      <c r="E241" s="82"/>
      <c r="F241" s="83"/>
      <c r="G241" s="84"/>
      <c r="H241" s="37"/>
    </row>
    <row r="242" spans="1:8" ht="13.5" thickBot="1" x14ac:dyDescent="0.25">
      <c r="A242" s="10"/>
      <c r="B242" s="10"/>
      <c r="C242" s="10"/>
      <c r="D242" s="10"/>
      <c r="E242" s="10"/>
      <c r="F242" s="10"/>
      <c r="G242" s="38" t="s">
        <v>14</v>
      </c>
      <c r="H242" s="87">
        <f>SUM(G237:G241)</f>
        <v>0</v>
      </c>
    </row>
    <row r="243" spans="1:8" ht="13.5" thickBot="1" x14ac:dyDescent="0.25">
      <c r="A243" s="46" t="s">
        <v>19</v>
      </c>
      <c r="B243" s="46"/>
      <c r="C243" s="47"/>
      <c r="D243" s="10"/>
      <c r="E243" s="10"/>
      <c r="F243" s="10"/>
      <c r="G243" s="10"/>
      <c r="H243" s="10"/>
    </row>
    <row r="244" spans="1:8" x14ac:dyDescent="0.2">
      <c r="A244" s="48" t="s">
        <v>20</v>
      </c>
      <c r="B244" s="49"/>
      <c r="C244" s="50" t="s">
        <v>21</v>
      </c>
      <c r="D244" s="141" t="s">
        <v>22</v>
      </c>
      <c r="E244" s="141" t="s">
        <v>23</v>
      </c>
      <c r="F244" s="141" t="s">
        <v>24</v>
      </c>
      <c r="G244" s="51" t="s">
        <v>13</v>
      </c>
      <c r="H244" s="18"/>
    </row>
    <row r="245" spans="1:8" ht="27" customHeight="1" x14ac:dyDescent="0.2">
      <c r="A245" s="379" t="s">
        <v>159</v>
      </c>
      <c r="B245" s="380"/>
      <c r="C245" s="86">
        <v>7</v>
      </c>
      <c r="D245" s="88">
        <v>5</v>
      </c>
      <c r="E245" s="88">
        <f>D245/C245</f>
        <v>0.7142857142857143</v>
      </c>
      <c r="F245" s="89">
        <v>20000</v>
      </c>
      <c r="G245" s="73">
        <f>E245*F245</f>
        <v>14285.714285714286</v>
      </c>
      <c r="H245" s="22"/>
    </row>
    <row r="246" spans="1:8" x14ac:dyDescent="0.2">
      <c r="A246" s="356"/>
      <c r="B246" s="356"/>
      <c r="C246" s="90"/>
      <c r="D246" s="88"/>
      <c r="E246" s="88"/>
      <c r="F246" s="89"/>
      <c r="G246" s="73"/>
      <c r="H246" s="22"/>
    </row>
    <row r="247" spans="1:8" x14ac:dyDescent="0.2">
      <c r="A247" s="356"/>
      <c r="B247" s="356"/>
      <c r="C247" s="91"/>
      <c r="D247" s="72"/>
      <c r="E247" s="92"/>
      <c r="F247" s="73"/>
      <c r="G247" s="73"/>
      <c r="H247" s="22"/>
    </row>
    <row r="248" spans="1:8" ht="13.5" thickBot="1" x14ac:dyDescent="0.25">
      <c r="A248" s="356"/>
      <c r="B248" s="356"/>
      <c r="C248" s="81"/>
      <c r="D248" s="82"/>
      <c r="E248" s="83"/>
      <c r="F248" s="84"/>
      <c r="G248" s="81"/>
      <c r="H248" s="22"/>
    </row>
    <row r="249" spans="1:8" ht="13.5" thickBot="1" x14ac:dyDescent="0.25">
      <c r="A249" s="10"/>
      <c r="B249" s="10"/>
      <c r="C249" s="10"/>
      <c r="D249" s="10"/>
      <c r="E249" s="10"/>
      <c r="F249" s="10"/>
      <c r="G249" s="38" t="s">
        <v>14</v>
      </c>
      <c r="H249" s="87">
        <f>SUM(G245:G247)</f>
        <v>14285.714285714286</v>
      </c>
    </row>
    <row r="250" spans="1:8" ht="13.5" thickBot="1" x14ac:dyDescent="0.25">
      <c r="A250" s="46" t="s">
        <v>25</v>
      </c>
      <c r="B250" s="46"/>
      <c r="C250" s="10"/>
      <c r="D250" s="10"/>
      <c r="E250" s="10"/>
      <c r="F250" s="10"/>
      <c r="G250" s="10"/>
      <c r="H250" s="10"/>
    </row>
    <row r="251" spans="1:8" x14ac:dyDescent="0.2">
      <c r="A251" s="48" t="s">
        <v>26</v>
      </c>
      <c r="B251" s="49"/>
      <c r="C251" s="59" t="s">
        <v>27</v>
      </c>
      <c r="D251" s="141" t="s">
        <v>28</v>
      </c>
      <c r="E251" s="71" t="s">
        <v>29</v>
      </c>
      <c r="F251" s="59" t="s">
        <v>12</v>
      </c>
      <c r="G251" s="140" t="s">
        <v>13</v>
      </c>
      <c r="H251" s="18"/>
    </row>
    <row r="252" spans="1:8" x14ac:dyDescent="0.2">
      <c r="A252" s="354" t="s">
        <v>82</v>
      </c>
      <c r="B252" s="355"/>
      <c r="C252" s="97">
        <v>217344.62759462761</v>
      </c>
      <c r="D252" s="98">
        <v>1.82</v>
      </c>
      <c r="E252" s="97">
        <f>C252*D252</f>
        <v>395567.22222222225</v>
      </c>
      <c r="F252" s="96">
        <v>27</v>
      </c>
      <c r="G252" s="109">
        <f t="shared" ref="G252" si="3">E252/F252</f>
        <v>14650.637860082306</v>
      </c>
      <c r="H252" s="144"/>
    </row>
    <row r="253" spans="1:8" x14ac:dyDescent="0.2">
      <c r="A253" s="354"/>
      <c r="B253" s="355"/>
      <c r="C253" s="97"/>
      <c r="D253" s="98"/>
      <c r="E253" s="96"/>
      <c r="F253" s="96"/>
      <c r="G253" s="109"/>
      <c r="H253" s="22"/>
    </row>
    <row r="254" spans="1:8" x14ac:dyDescent="0.2">
      <c r="A254" s="354"/>
      <c r="B254" s="355"/>
      <c r="C254" s="97"/>
      <c r="D254" s="98"/>
      <c r="E254" s="96"/>
      <c r="F254" s="96"/>
      <c r="G254" s="109"/>
      <c r="H254" s="22"/>
    </row>
    <row r="255" spans="1:8" x14ac:dyDescent="0.2">
      <c r="A255" s="356"/>
      <c r="B255" s="356"/>
      <c r="C255" s="85"/>
      <c r="D255" s="72"/>
      <c r="E255" s="85"/>
      <c r="F255" s="73"/>
      <c r="G255" s="78"/>
      <c r="H255" s="22"/>
    </row>
    <row r="256" spans="1:8" x14ac:dyDescent="0.2">
      <c r="A256" s="356"/>
      <c r="B256" s="356"/>
      <c r="C256" s="85"/>
      <c r="D256" s="72"/>
      <c r="E256" s="85"/>
      <c r="F256" s="73"/>
      <c r="G256" s="78"/>
      <c r="H256" s="22"/>
    </row>
    <row r="257" spans="1:8" ht="13.5" thickBot="1" x14ac:dyDescent="0.25">
      <c r="A257" s="93"/>
      <c r="B257" s="94"/>
      <c r="C257" s="82"/>
      <c r="D257" s="42"/>
      <c r="E257" s="42"/>
      <c r="F257" s="42"/>
      <c r="G257" s="47"/>
      <c r="H257" s="37"/>
    </row>
    <row r="258" spans="1:8" ht="13.5" thickBot="1" x14ac:dyDescent="0.25">
      <c r="A258" s="10"/>
      <c r="B258" s="10"/>
      <c r="C258" s="10"/>
      <c r="D258" s="10"/>
      <c r="E258" s="10"/>
      <c r="F258" s="10"/>
      <c r="G258" s="38" t="s">
        <v>14</v>
      </c>
      <c r="H258" s="87">
        <f>ROUNDUP(SUM(G252:G257),0)</f>
        <v>14651</v>
      </c>
    </row>
    <row r="259" spans="1:8" ht="13.5" thickBot="1" x14ac:dyDescent="0.25">
      <c r="A259" s="10"/>
      <c r="B259" s="10"/>
      <c r="C259" s="10"/>
      <c r="D259" s="143"/>
      <c r="E259" s="10"/>
      <c r="F259" s="10"/>
      <c r="G259" s="66"/>
      <c r="H259" s="10"/>
    </row>
    <row r="260" spans="1:8" ht="13.5" thickBot="1" x14ac:dyDescent="0.25">
      <c r="A260" s="10"/>
      <c r="B260" s="10"/>
      <c r="C260" s="10"/>
      <c r="D260" s="10"/>
      <c r="E260" s="8" t="s">
        <v>30</v>
      </c>
      <c r="F260" s="95"/>
      <c r="G260" s="95"/>
      <c r="H260" s="113">
        <f>ROUND(SUM(H234+H242+H249+H258),0)</f>
        <v>34837</v>
      </c>
    </row>
    <row r="264" spans="1:8" ht="13.5" thickBot="1" x14ac:dyDescent="0.25"/>
    <row r="265" spans="1:8" x14ac:dyDescent="0.2">
      <c r="A265" s="4"/>
      <c r="B265" s="5"/>
      <c r="C265" s="6"/>
      <c r="D265" s="339" t="s">
        <v>6</v>
      </c>
      <c r="E265" s="340"/>
      <c r="F265" s="340"/>
      <c r="G265" s="340"/>
      <c r="H265" s="341"/>
    </row>
    <row r="266" spans="1:8" x14ac:dyDescent="0.2">
      <c r="A266" s="7"/>
      <c r="B266" s="8"/>
      <c r="C266" s="9"/>
      <c r="D266" s="342"/>
      <c r="E266" s="343"/>
      <c r="F266" s="343"/>
      <c r="G266" s="343"/>
      <c r="H266" s="344"/>
    </row>
    <row r="267" spans="1:8" ht="39" customHeight="1" thickBot="1" x14ac:dyDescent="0.25">
      <c r="A267" s="13"/>
      <c r="B267" s="14"/>
      <c r="C267" s="15"/>
      <c r="D267" s="345"/>
      <c r="E267" s="346"/>
      <c r="F267" s="346"/>
      <c r="G267" s="346"/>
      <c r="H267" s="347"/>
    </row>
    <row r="268" spans="1:8" x14ac:dyDescent="0.2">
      <c r="A268" s="348" t="s">
        <v>88</v>
      </c>
      <c r="B268" s="366" t="s">
        <v>162</v>
      </c>
      <c r="C268" s="367"/>
      <c r="D268" s="367"/>
      <c r="E268" s="367"/>
      <c r="F268" s="368"/>
      <c r="G268" s="348" t="s">
        <v>134</v>
      </c>
      <c r="H268" s="349"/>
    </row>
    <row r="269" spans="1:8" x14ac:dyDescent="0.2">
      <c r="A269" s="350"/>
      <c r="B269" s="369"/>
      <c r="C269" s="370"/>
      <c r="D269" s="370"/>
      <c r="E269" s="370"/>
      <c r="F269" s="371"/>
      <c r="G269" s="350"/>
      <c r="H269" s="351"/>
    </row>
    <row r="270" spans="1:8" ht="13.5" thickBot="1" x14ac:dyDescent="0.25">
      <c r="A270" s="352"/>
      <c r="B270" s="369"/>
      <c r="C270" s="370"/>
      <c r="D270" s="370"/>
      <c r="E270" s="370"/>
      <c r="F270" s="371"/>
      <c r="G270" s="350"/>
      <c r="H270" s="351"/>
    </row>
    <row r="271" spans="1:8" x14ac:dyDescent="0.2">
      <c r="A271" s="68"/>
      <c r="B271" s="369"/>
      <c r="C271" s="370"/>
      <c r="D271" s="370"/>
      <c r="E271" s="370"/>
      <c r="F271" s="371"/>
      <c r="G271" s="350"/>
      <c r="H271" s="351"/>
    </row>
    <row r="272" spans="1:8" ht="13.5" thickBot="1" x14ac:dyDescent="0.25">
      <c r="A272" s="69" t="s">
        <v>8</v>
      </c>
      <c r="B272" s="372"/>
      <c r="C272" s="373"/>
      <c r="D272" s="373"/>
      <c r="E272" s="373"/>
      <c r="F272" s="374"/>
      <c r="G272" s="352"/>
      <c r="H272" s="353"/>
    </row>
    <row r="273" spans="1:8" x14ac:dyDescent="0.2">
      <c r="A273" s="363" t="s">
        <v>9</v>
      </c>
      <c r="B273" s="364"/>
      <c r="C273" s="365"/>
      <c r="D273" s="172" t="s">
        <v>10</v>
      </c>
      <c r="E273" s="172" t="s">
        <v>11</v>
      </c>
      <c r="F273" s="172" t="s">
        <v>12</v>
      </c>
      <c r="G273" s="171" t="s">
        <v>13</v>
      </c>
      <c r="H273" s="18"/>
    </row>
    <row r="274" spans="1:8" x14ac:dyDescent="0.2">
      <c r="A274" s="357" t="s">
        <v>115</v>
      </c>
      <c r="B274" s="358"/>
      <c r="C274" s="359"/>
      <c r="D274" s="19" t="s">
        <v>116</v>
      </c>
      <c r="E274" s="20">
        <v>20000</v>
      </c>
      <c r="F274" s="20">
        <v>0.2</v>
      </c>
      <c r="G274" s="21">
        <f>E274*F274</f>
        <v>4000</v>
      </c>
      <c r="H274" s="22"/>
    </row>
    <row r="275" spans="1:8" x14ac:dyDescent="0.2">
      <c r="A275" s="357" t="s">
        <v>117</v>
      </c>
      <c r="B275" s="358"/>
      <c r="C275" s="359"/>
      <c r="D275" s="23" t="s">
        <v>119</v>
      </c>
      <c r="E275" s="24">
        <v>10000</v>
      </c>
      <c r="F275" s="25">
        <v>0.05</v>
      </c>
      <c r="G275" s="26">
        <f>E275*F275</f>
        <v>500</v>
      </c>
      <c r="H275" s="22"/>
    </row>
    <row r="276" spans="1:8" x14ac:dyDescent="0.2">
      <c r="A276" s="27" t="s">
        <v>118</v>
      </c>
      <c r="B276" s="28"/>
      <c r="C276" s="29"/>
      <c r="D276" s="30" t="s">
        <v>120</v>
      </c>
      <c r="E276" s="24">
        <v>36000</v>
      </c>
      <c r="F276" s="25">
        <v>0.08</v>
      </c>
      <c r="G276" s="26">
        <f>E276*F276</f>
        <v>2880</v>
      </c>
      <c r="H276" s="22"/>
    </row>
    <row r="277" spans="1:8" x14ac:dyDescent="0.2">
      <c r="A277" s="357" t="s">
        <v>126</v>
      </c>
      <c r="B277" s="358"/>
      <c r="C277" s="359"/>
      <c r="D277" s="31" t="s">
        <v>119</v>
      </c>
      <c r="E277" s="32">
        <v>2150</v>
      </c>
      <c r="F277" s="25">
        <v>3</v>
      </c>
      <c r="G277" s="26">
        <f>E277*F277</f>
        <v>6450</v>
      </c>
      <c r="H277" s="22"/>
    </row>
    <row r="278" spans="1:8" ht="13.5" thickBot="1" x14ac:dyDescent="0.25">
      <c r="A278" s="360"/>
      <c r="B278" s="361"/>
      <c r="C278" s="362"/>
      <c r="D278" s="33"/>
      <c r="E278" s="34"/>
      <c r="F278" s="35"/>
      <c r="G278" s="36"/>
      <c r="H278" s="37"/>
    </row>
    <row r="279" spans="1:8" ht="27" customHeight="1" thickBot="1" x14ac:dyDescent="0.25">
      <c r="A279" s="10"/>
      <c r="B279" s="10"/>
      <c r="C279" s="10"/>
      <c r="D279" s="10"/>
      <c r="E279" s="10"/>
      <c r="F279" s="10"/>
      <c r="G279" s="38" t="s">
        <v>14</v>
      </c>
      <c r="H279" s="107">
        <f>ROUNDUP(SUM(G274:G276),0)</f>
        <v>7380</v>
      </c>
    </row>
    <row r="280" spans="1:8" ht="13.5" thickBot="1" x14ac:dyDescent="0.25">
      <c r="A280" s="11" t="s">
        <v>15</v>
      </c>
      <c r="B280" s="11"/>
      <c r="C280" s="11"/>
      <c r="D280" s="10"/>
      <c r="E280" s="10"/>
      <c r="F280" s="10"/>
      <c r="G280" s="10"/>
      <c r="H280" s="10"/>
    </row>
    <row r="281" spans="1:8" x14ac:dyDescent="0.2">
      <c r="A281" s="363" t="s">
        <v>9</v>
      </c>
      <c r="B281" s="364"/>
      <c r="C281" s="365"/>
      <c r="D281" s="172" t="s">
        <v>16</v>
      </c>
      <c r="E281" s="172" t="s">
        <v>17</v>
      </c>
      <c r="F281" s="172" t="s">
        <v>18</v>
      </c>
      <c r="G281" s="171" t="s">
        <v>13</v>
      </c>
      <c r="H281" s="18"/>
    </row>
    <row r="282" spans="1:8" x14ac:dyDescent="0.2">
      <c r="A282" s="332" t="s">
        <v>121</v>
      </c>
      <c r="B282" s="333"/>
      <c r="C282" s="334"/>
      <c r="D282" s="23" t="s">
        <v>34</v>
      </c>
      <c r="E282" s="24">
        <v>730000</v>
      </c>
      <c r="F282" s="40">
        <v>1.05</v>
      </c>
      <c r="G282" s="41">
        <f>E282*F282</f>
        <v>766500</v>
      </c>
      <c r="H282" s="22"/>
    </row>
    <row r="283" spans="1:8" x14ac:dyDescent="0.2">
      <c r="A283" s="332" t="s">
        <v>123</v>
      </c>
      <c r="B283" s="333"/>
      <c r="C283" s="334"/>
      <c r="D283" s="23" t="s">
        <v>87</v>
      </c>
      <c r="E283" s="24">
        <v>11320</v>
      </c>
      <c r="F283" s="40">
        <v>0.2</v>
      </c>
      <c r="G283" s="41">
        <f t="shared" ref="G283:G285" si="4">E283*F283</f>
        <v>2264</v>
      </c>
      <c r="H283" s="22"/>
    </row>
    <row r="284" spans="1:8" x14ac:dyDescent="0.2">
      <c r="A284" s="332" t="s">
        <v>124</v>
      </c>
      <c r="B284" s="333"/>
      <c r="C284" s="334"/>
      <c r="D284" s="23" t="s">
        <v>140</v>
      </c>
      <c r="E284" s="24">
        <v>9900</v>
      </c>
      <c r="F284" s="40">
        <v>0.04</v>
      </c>
      <c r="G284" s="41">
        <f t="shared" si="4"/>
        <v>396</v>
      </c>
      <c r="H284" s="22"/>
    </row>
    <row r="285" spans="1:8" x14ac:dyDescent="0.2">
      <c r="A285" s="332" t="s">
        <v>141</v>
      </c>
      <c r="B285" s="333"/>
      <c r="C285" s="334"/>
      <c r="D285" s="23" t="s">
        <v>87</v>
      </c>
      <c r="E285" s="24">
        <v>19600</v>
      </c>
      <c r="F285" s="40">
        <v>0.2</v>
      </c>
      <c r="G285" s="41">
        <f t="shared" si="4"/>
        <v>3920</v>
      </c>
      <c r="H285" s="22"/>
    </row>
    <row r="286" spans="1:8" x14ac:dyDescent="0.2">
      <c r="A286" s="332"/>
      <c r="B286" s="333"/>
      <c r="C286" s="334"/>
      <c r="D286" s="23"/>
      <c r="E286" s="24"/>
      <c r="F286" s="40"/>
      <c r="G286" s="41"/>
      <c r="H286" s="22"/>
    </row>
    <row r="287" spans="1:8" x14ac:dyDescent="0.2">
      <c r="A287" s="332"/>
      <c r="B287" s="333"/>
      <c r="C287" s="334"/>
      <c r="D287" s="23"/>
      <c r="E287" s="24"/>
      <c r="F287" s="40"/>
      <c r="G287" s="41"/>
      <c r="H287" s="22"/>
    </row>
    <row r="288" spans="1:8" x14ac:dyDescent="0.2">
      <c r="A288" s="170"/>
      <c r="B288" s="173"/>
      <c r="C288" s="174"/>
      <c r="D288" s="23"/>
      <c r="E288" s="24"/>
      <c r="F288" s="40"/>
      <c r="G288" s="41"/>
      <c r="H288" s="22"/>
    </row>
    <row r="289" spans="1:8" x14ac:dyDescent="0.2">
      <c r="A289" s="332"/>
      <c r="B289" s="333"/>
      <c r="C289" s="334"/>
      <c r="D289" s="23"/>
      <c r="E289" s="24"/>
      <c r="F289" s="40"/>
      <c r="G289" s="41"/>
      <c r="H289" s="22"/>
    </row>
    <row r="290" spans="1:8" x14ac:dyDescent="0.2">
      <c r="A290" s="332"/>
      <c r="B290" s="333"/>
      <c r="C290" s="334"/>
      <c r="D290" s="23"/>
      <c r="E290" s="24"/>
      <c r="F290" s="40"/>
      <c r="G290" s="41"/>
      <c r="H290" s="22"/>
    </row>
    <row r="291" spans="1:8" ht="13.5" thickBot="1" x14ac:dyDescent="0.25">
      <c r="A291" s="335"/>
      <c r="B291" s="336"/>
      <c r="C291" s="337"/>
      <c r="D291" s="43"/>
      <c r="E291" s="44"/>
      <c r="F291" s="35"/>
      <c r="G291" s="36"/>
      <c r="H291" s="37"/>
    </row>
    <row r="292" spans="1:8" ht="13.5" thickBot="1" x14ac:dyDescent="0.25">
      <c r="A292" s="10"/>
      <c r="B292" s="10"/>
      <c r="C292" s="10"/>
      <c r="D292" s="10"/>
      <c r="E292" s="10"/>
      <c r="F292" s="10"/>
      <c r="G292" s="38" t="s">
        <v>14</v>
      </c>
      <c r="H292" s="45">
        <f>SUM(G282:G291)</f>
        <v>773080</v>
      </c>
    </row>
    <row r="293" spans="1:8" ht="13.5" thickBot="1" x14ac:dyDescent="0.25">
      <c r="A293" s="46" t="s">
        <v>19</v>
      </c>
      <c r="B293" s="46"/>
      <c r="C293" s="47"/>
      <c r="D293" s="10"/>
      <c r="E293" s="10"/>
      <c r="F293" s="10"/>
      <c r="G293" s="10"/>
      <c r="H293" s="10"/>
    </row>
    <row r="294" spans="1:8" x14ac:dyDescent="0.2">
      <c r="A294" s="110" t="s">
        <v>20</v>
      </c>
      <c r="B294" s="111"/>
      <c r="C294" s="112" t="s">
        <v>21</v>
      </c>
      <c r="D294" s="172" t="s">
        <v>22</v>
      </c>
      <c r="E294" s="172" t="s">
        <v>23</v>
      </c>
      <c r="F294" s="172" t="s">
        <v>24</v>
      </c>
      <c r="G294" s="51" t="s">
        <v>13</v>
      </c>
      <c r="H294" s="52"/>
    </row>
    <row r="295" spans="1:8" x14ac:dyDescent="0.2">
      <c r="A295" s="332" t="s">
        <v>128</v>
      </c>
      <c r="B295" s="338"/>
      <c r="C295" s="53">
        <v>0.1</v>
      </c>
      <c r="D295" s="54" t="s">
        <v>34</v>
      </c>
      <c r="E295" s="54">
        <v>11</v>
      </c>
      <c r="F295" s="55">
        <v>1400</v>
      </c>
      <c r="G295" s="114">
        <f>C295*E295*F295</f>
        <v>1540.0000000000002</v>
      </c>
      <c r="H295" s="22"/>
    </row>
    <row r="296" spans="1:8" x14ac:dyDescent="0.2">
      <c r="A296" s="332"/>
      <c r="B296" s="338"/>
      <c r="C296" s="56"/>
      <c r="D296" s="54"/>
      <c r="E296" s="54"/>
      <c r="F296" s="55"/>
      <c r="G296" s="114"/>
      <c r="H296" s="22"/>
    </row>
    <row r="297" spans="1:8" x14ac:dyDescent="0.2">
      <c r="A297" s="332"/>
      <c r="B297" s="338"/>
      <c r="C297" s="50"/>
      <c r="D297" s="23"/>
      <c r="E297" s="57"/>
      <c r="F297" s="25"/>
      <c r="G297" s="114"/>
      <c r="H297" s="22"/>
    </row>
    <row r="298" spans="1:8" ht="13.5" thickBot="1" x14ac:dyDescent="0.25">
      <c r="A298" s="375"/>
      <c r="B298" s="376"/>
      <c r="C298" s="43"/>
      <c r="D298" s="44"/>
      <c r="E298" s="35"/>
      <c r="F298" s="36"/>
      <c r="G298" s="116"/>
      <c r="H298" s="22"/>
    </row>
    <row r="299" spans="1:8" ht="13.5" thickBot="1" x14ac:dyDescent="0.25">
      <c r="A299" s="10"/>
      <c r="B299" s="10"/>
      <c r="C299" s="10"/>
      <c r="D299" s="10"/>
      <c r="E299" s="10"/>
      <c r="F299" s="10"/>
      <c r="G299" s="38" t="s">
        <v>14</v>
      </c>
      <c r="H299" s="58">
        <f>G295</f>
        <v>1540.0000000000002</v>
      </c>
    </row>
    <row r="300" spans="1:8" ht="13.5" thickBot="1" x14ac:dyDescent="0.25">
      <c r="A300" s="46" t="s">
        <v>25</v>
      </c>
      <c r="B300" s="46"/>
      <c r="C300" s="10"/>
      <c r="D300" s="10"/>
      <c r="E300" s="10"/>
      <c r="F300" s="10"/>
      <c r="G300" s="10"/>
      <c r="H300" s="10"/>
    </row>
    <row r="301" spans="1:8" x14ac:dyDescent="0.2">
      <c r="A301" s="110" t="s">
        <v>26</v>
      </c>
      <c r="B301" s="111"/>
      <c r="C301" s="59" t="s">
        <v>27</v>
      </c>
      <c r="D301" s="172" t="s">
        <v>28</v>
      </c>
      <c r="E301" s="172" t="s">
        <v>29</v>
      </c>
      <c r="F301" s="172" t="s">
        <v>12</v>
      </c>
      <c r="G301" s="51" t="s">
        <v>13</v>
      </c>
      <c r="H301" s="18"/>
    </row>
    <row r="302" spans="1:8" x14ac:dyDescent="0.2">
      <c r="A302" s="48" t="s">
        <v>145</v>
      </c>
      <c r="B302" s="49"/>
      <c r="C302" s="60">
        <f>100%*E302/D302</f>
        <v>521978.02197802195</v>
      </c>
      <c r="D302" s="61">
        <v>1.82</v>
      </c>
      <c r="E302" s="24">
        <v>950000</v>
      </c>
      <c r="F302" s="25">
        <v>0.15</v>
      </c>
      <c r="G302" s="62">
        <f>E302*F302</f>
        <v>142500</v>
      </c>
      <c r="H302" s="12"/>
    </row>
    <row r="303" spans="1:8" x14ac:dyDescent="0.2">
      <c r="A303" s="357"/>
      <c r="B303" s="377"/>
      <c r="C303" s="60"/>
      <c r="D303" s="61"/>
      <c r="E303" s="24"/>
      <c r="F303" s="25"/>
      <c r="G303" s="62"/>
      <c r="H303" s="12"/>
    </row>
    <row r="304" spans="1:8" x14ac:dyDescent="0.2">
      <c r="A304" s="332"/>
      <c r="B304" s="338"/>
      <c r="C304" s="63"/>
      <c r="D304" s="61"/>
      <c r="E304" s="24"/>
      <c r="F304" s="25"/>
      <c r="G304" s="114"/>
      <c r="H304" s="22"/>
    </row>
    <row r="305" spans="1:8" x14ac:dyDescent="0.2">
      <c r="A305" s="332"/>
      <c r="B305" s="338"/>
      <c r="C305" s="64"/>
      <c r="D305" s="23"/>
      <c r="E305" s="24"/>
      <c r="F305" s="25"/>
      <c r="G305" s="114"/>
      <c r="H305" s="22"/>
    </row>
    <row r="306" spans="1:8" x14ac:dyDescent="0.2">
      <c r="A306" s="332"/>
      <c r="B306" s="338"/>
      <c r="C306" s="64"/>
      <c r="D306" s="23"/>
      <c r="E306" s="24"/>
      <c r="F306" s="25"/>
      <c r="G306" s="114"/>
      <c r="H306" s="22"/>
    </row>
    <row r="307" spans="1:8" ht="13.5" thickBot="1" x14ac:dyDescent="0.25">
      <c r="A307" s="375"/>
      <c r="B307" s="376"/>
      <c r="C307" s="65"/>
      <c r="D307" s="42"/>
      <c r="E307" s="42"/>
      <c r="F307" s="42"/>
      <c r="G307" s="115"/>
      <c r="H307" s="37"/>
    </row>
    <row r="308" spans="1:8" ht="39.75" customHeight="1" thickBot="1" x14ac:dyDescent="0.25">
      <c r="A308" s="10"/>
      <c r="B308" s="10"/>
      <c r="C308" s="10"/>
      <c r="D308" s="10"/>
      <c r="E308" s="10"/>
      <c r="F308" s="10"/>
      <c r="G308" s="38" t="s">
        <v>14</v>
      </c>
      <c r="H308" s="39">
        <f>ROUNDUP(SUM(G302:G303),0)</f>
        <v>142500</v>
      </c>
    </row>
    <row r="309" spans="1:8" ht="13.5" thickBot="1" x14ac:dyDescent="0.25">
      <c r="A309" s="10"/>
      <c r="B309" s="10"/>
      <c r="C309" s="10"/>
      <c r="D309" s="10"/>
      <c r="E309" s="10"/>
      <c r="F309" s="10"/>
      <c r="G309" s="66"/>
      <c r="H309" s="10"/>
    </row>
    <row r="310" spans="1:8" ht="13.5" thickBot="1" x14ac:dyDescent="0.25">
      <c r="A310" s="10"/>
      <c r="B310" s="10"/>
      <c r="C310" s="10"/>
      <c r="D310" s="10"/>
      <c r="E310" s="8" t="s">
        <v>30</v>
      </c>
      <c r="F310" s="8"/>
      <c r="G310" s="8"/>
      <c r="H310" s="180">
        <f>ROUND(SUM(H279+H292+H299+H308),0)</f>
        <v>924500</v>
      </c>
    </row>
    <row r="311" spans="1:8" x14ac:dyDescent="0.2">
      <c r="A311" s="10"/>
      <c r="B311" s="10"/>
      <c r="C311" s="10"/>
      <c r="D311" s="10"/>
      <c r="E311" s="8"/>
      <c r="F311" s="8"/>
      <c r="G311" s="8"/>
      <c r="H311" s="175"/>
    </row>
    <row r="312" spans="1:8" x14ac:dyDescent="0.2">
      <c r="A312" s="10"/>
      <c r="B312" s="10"/>
      <c r="C312" s="10"/>
      <c r="D312" s="10"/>
      <c r="E312" s="8"/>
      <c r="F312" s="8"/>
      <c r="G312" s="8"/>
      <c r="H312" s="175"/>
    </row>
    <row r="313" spans="1:8" x14ac:dyDescent="0.2">
      <c r="A313" s="10"/>
      <c r="B313" s="10"/>
      <c r="C313" s="10"/>
      <c r="D313" s="10"/>
      <c r="E313" s="8"/>
      <c r="F313" s="8"/>
      <c r="G313" s="8"/>
      <c r="H313" s="175"/>
    </row>
    <row r="314" spans="1:8" ht="13.5" thickBot="1" x14ac:dyDescent="0.25">
      <c r="A314" s="10"/>
      <c r="B314" s="10"/>
      <c r="C314" s="10"/>
      <c r="D314" s="10"/>
      <c r="E314" s="8"/>
      <c r="F314" s="8"/>
      <c r="G314" s="8"/>
      <c r="H314" s="175"/>
    </row>
    <row r="315" spans="1:8" x14ac:dyDescent="0.2">
      <c r="A315" s="4"/>
      <c r="B315" s="5"/>
      <c r="C315" s="6"/>
      <c r="D315" s="339" t="s">
        <v>6</v>
      </c>
      <c r="E315" s="340"/>
      <c r="F315" s="340"/>
      <c r="G315" s="340"/>
      <c r="H315" s="341"/>
    </row>
    <row r="316" spans="1:8" x14ac:dyDescent="0.2">
      <c r="A316" s="7"/>
      <c r="B316" s="8"/>
      <c r="C316" s="9"/>
      <c r="D316" s="342"/>
      <c r="E316" s="343"/>
      <c r="F316" s="343"/>
      <c r="G316" s="343"/>
      <c r="H316" s="344"/>
    </row>
    <row r="317" spans="1:8" ht="41.25" customHeight="1" thickBot="1" x14ac:dyDescent="0.25">
      <c r="A317" s="13"/>
      <c r="B317" s="14"/>
      <c r="C317" s="15"/>
      <c r="D317" s="345"/>
      <c r="E317" s="346"/>
      <c r="F317" s="346"/>
      <c r="G317" s="346"/>
      <c r="H317" s="347"/>
    </row>
    <row r="318" spans="1:8" x14ac:dyDescent="0.2">
      <c r="A318" s="348" t="s">
        <v>89</v>
      </c>
      <c r="B318" s="366" t="s">
        <v>144</v>
      </c>
      <c r="C318" s="367"/>
      <c r="D318" s="367"/>
      <c r="E318" s="367"/>
      <c r="F318" s="368"/>
      <c r="G318" s="348" t="s">
        <v>146</v>
      </c>
      <c r="H318" s="349"/>
    </row>
    <row r="319" spans="1:8" x14ac:dyDescent="0.2">
      <c r="A319" s="350"/>
      <c r="B319" s="369"/>
      <c r="C319" s="370"/>
      <c r="D319" s="370"/>
      <c r="E319" s="370"/>
      <c r="F319" s="371"/>
      <c r="G319" s="350"/>
      <c r="H319" s="351"/>
    </row>
    <row r="320" spans="1:8" ht="36" customHeight="1" thickBot="1" x14ac:dyDescent="0.25">
      <c r="A320" s="352"/>
      <c r="B320" s="369"/>
      <c r="C320" s="370"/>
      <c r="D320" s="370"/>
      <c r="E320" s="370"/>
      <c r="F320" s="371"/>
      <c r="G320" s="350"/>
      <c r="H320" s="351"/>
    </row>
    <row r="321" spans="1:8" x14ac:dyDescent="0.2">
      <c r="A321" s="68"/>
      <c r="B321" s="369"/>
      <c r="C321" s="370"/>
      <c r="D321" s="370"/>
      <c r="E321" s="370"/>
      <c r="F321" s="371"/>
      <c r="G321" s="350"/>
      <c r="H321" s="351"/>
    </row>
    <row r="322" spans="1:8" ht="13.5" thickBot="1" x14ac:dyDescent="0.25">
      <c r="A322" s="69" t="s">
        <v>8</v>
      </c>
      <c r="B322" s="372"/>
      <c r="C322" s="373"/>
      <c r="D322" s="373"/>
      <c r="E322" s="373"/>
      <c r="F322" s="374"/>
      <c r="G322" s="352"/>
      <c r="H322" s="353"/>
    </row>
    <row r="323" spans="1:8" x14ac:dyDescent="0.2">
      <c r="A323" s="363" t="s">
        <v>9</v>
      </c>
      <c r="B323" s="364"/>
      <c r="C323" s="365"/>
      <c r="D323" s="172" t="s">
        <v>10</v>
      </c>
      <c r="E323" s="172" t="s">
        <v>11</v>
      </c>
      <c r="F323" s="172" t="s">
        <v>12</v>
      </c>
      <c r="G323" s="171" t="s">
        <v>13</v>
      </c>
      <c r="H323" s="18"/>
    </row>
    <row r="324" spans="1:8" x14ac:dyDescent="0.2">
      <c r="A324" s="357" t="s">
        <v>115</v>
      </c>
      <c r="B324" s="358"/>
      <c r="C324" s="359"/>
      <c r="D324" s="19" t="s">
        <v>116</v>
      </c>
      <c r="E324" s="20"/>
      <c r="F324" s="20"/>
      <c r="G324" s="21">
        <f>0.1*H350</f>
        <v>336.6</v>
      </c>
      <c r="H324" s="22"/>
    </row>
    <row r="325" spans="1:8" x14ac:dyDescent="0.2">
      <c r="A325" s="357"/>
      <c r="B325" s="358"/>
      <c r="C325" s="359"/>
      <c r="D325" s="23"/>
      <c r="E325" s="24"/>
      <c r="F325" s="25"/>
      <c r="G325" s="26"/>
      <c r="H325" s="22"/>
    </row>
    <row r="326" spans="1:8" x14ac:dyDescent="0.2">
      <c r="A326" s="27"/>
      <c r="B326" s="28"/>
      <c r="C326" s="29"/>
      <c r="D326" s="30"/>
      <c r="E326" s="24"/>
      <c r="F326" s="25"/>
      <c r="G326" s="26"/>
      <c r="H326" s="22"/>
    </row>
    <row r="327" spans="1:8" x14ac:dyDescent="0.2">
      <c r="A327" s="357"/>
      <c r="B327" s="358"/>
      <c r="C327" s="359"/>
      <c r="D327" s="31"/>
      <c r="E327" s="32"/>
      <c r="F327" s="25"/>
      <c r="G327" s="26"/>
      <c r="H327" s="22"/>
    </row>
    <row r="328" spans="1:8" ht="13.5" thickBot="1" x14ac:dyDescent="0.25">
      <c r="A328" s="360"/>
      <c r="B328" s="361"/>
      <c r="C328" s="362"/>
      <c r="D328" s="33"/>
      <c r="E328" s="34"/>
      <c r="F328" s="35"/>
      <c r="G328" s="36"/>
      <c r="H328" s="37"/>
    </row>
    <row r="329" spans="1:8" ht="13.5" thickBot="1" x14ac:dyDescent="0.25">
      <c r="A329" s="10"/>
      <c r="B329" s="10"/>
      <c r="C329" s="10"/>
      <c r="D329" s="10"/>
      <c r="E329" s="10"/>
      <c r="F329" s="10"/>
      <c r="G329" s="38" t="s">
        <v>14</v>
      </c>
      <c r="H329" s="107">
        <f>ROUNDUP(SUM(G324:G326),0)</f>
        <v>337</v>
      </c>
    </row>
    <row r="330" spans="1:8" ht="13.5" thickBot="1" x14ac:dyDescent="0.25">
      <c r="A330" s="11" t="s">
        <v>15</v>
      </c>
      <c r="B330" s="11"/>
      <c r="C330" s="11"/>
      <c r="D330" s="10"/>
      <c r="E330" s="10"/>
      <c r="F330" s="10"/>
      <c r="G330" s="10"/>
      <c r="H330" s="10"/>
    </row>
    <row r="331" spans="1:8" x14ac:dyDescent="0.2">
      <c r="A331" s="363" t="s">
        <v>9</v>
      </c>
      <c r="B331" s="364"/>
      <c r="C331" s="365"/>
      <c r="D331" s="172" t="s">
        <v>16</v>
      </c>
      <c r="E331" s="172" t="s">
        <v>17</v>
      </c>
      <c r="F331" s="172" t="s">
        <v>18</v>
      </c>
      <c r="G331" s="171" t="s">
        <v>13</v>
      </c>
      <c r="H331" s="18"/>
    </row>
    <row r="332" spans="1:8" x14ac:dyDescent="0.2">
      <c r="A332" s="332" t="s">
        <v>125</v>
      </c>
      <c r="B332" s="333"/>
      <c r="C332" s="334"/>
      <c r="D332" s="23" t="s">
        <v>87</v>
      </c>
      <c r="E332" s="24">
        <v>7500</v>
      </c>
      <c r="F332" s="40">
        <v>0.02</v>
      </c>
      <c r="G332" s="41">
        <f t="shared" ref="G332:G333" si="5">E332*F332</f>
        <v>150</v>
      </c>
      <c r="H332" s="22"/>
    </row>
    <row r="333" spans="1:8" x14ac:dyDescent="0.2">
      <c r="A333" s="332" t="s">
        <v>127</v>
      </c>
      <c r="B333" s="333"/>
      <c r="C333" s="334"/>
      <c r="D333" s="23" t="s">
        <v>87</v>
      </c>
      <c r="E333" s="24">
        <v>5500</v>
      </c>
      <c r="F333" s="40">
        <v>1.05</v>
      </c>
      <c r="G333" s="41">
        <f t="shared" si="5"/>
        <v>5775</v>
      </c>
      <c r="H333" s="22"/>
    </row>
    <row r="334" spans="1:8" x14ac:dyDescent="0.2">
      <c r="A334" s="332"/>
      <c r="B334" s="333"/>
      <c r="C334" s="334"/>
      <c r="D334" s="23"/>
      <c r="E334" s="24"/>
      <c r="F334" s="40"/>
      <c r="G334" s="41"/>
      <c r="H334" s="22"/>
    </row>
    <row r="335" spans="1:8" ht="13.5" thickBot="1" x14ac:dyDescent="0.25">
      <c r="A335" s="335"/>
      <c r="B335" s="336"/>
      <c r="C335" s="337"/>
      <c r="D335" s="43"/>
      <c r="E335" s="44"/>
      <c r="F335" s="35"/>
      <c r="G335" s="36"/>
      <c r="H335" s="37"/>
    </row>
    <row r="336" spans="1:8" ht="13.5" thickBot="1" x14ac:dyDescent="0.25">
      <c r="A336" s="10"/>
      <c r="B336" s="10"/>
      <c r="C336" s="10"/>
      <c r="D336" s="10"/>
      <c r="E336" s="10"/>
      <c r="F336" s="10"/>
      <c r="G336" s="38" t="s">
        <v>14</v>
      </c>
      <c r="H336" s="45">
        <f>SUM(G332:G335)</f>
        <v>5925</v>
      </c>
    </row>
    <row r="337" spans="1:8" ht="13.5" thickBot="1" x14ac:dyDescent="0.25">
      <c r="A337" s="46" t="s">
        <v>19</v>
      </c>
      <c r="B337" s="46"/>
      <c r="C337" s="47"/>
      <c r="D337" s="10"/>
      <c r="E337" s="10"/>
      <c r="F337" s="10"/>
      <c r="G337" s="10"/>
      <c r="H337" s="10"/>
    </row>
    <row r="338" spans="1:8" x14ac:dyDescent="0.2">
      <c r="A338" s="110" t="s">
        <v>20</v>
      </c>
      <c r="B338" s="111"/>
      <c r="C338" s="112" t="s">
        <v>21</v>
      </c>
      <c r="D338" s="172" t="s">
        <v>22</v>
      </c>
      <c r="E338" s="172" t="s">
        <v>23</v>
      </c>
      <c r="F338" s="172" t="s">
        <v>24</v>
      </c>
      <c r="G338" s="51" t="s">
        <v>13</v>
      </c>
      <c r="H338" s="52"/>
    </row>
    <row r="339" spans="1:8" x14ac:dyDescent="0.2">
      <c r="A339" s="332"/>
      <c r="B339" s="338"/>
      <c r="C339" s="53"/>
      <c r="D339" s="54"/>
      <c r="E339" s="54"/>
      <c r="F339" s="55"/>
      <c r="G339" s="114"/>
      <c r="H339" s="22"/>
    </row>
    <row r="340" spans="1:8" x14ac:dyDescent="0.2">
      <c r="A340" s="332"/>
      <c r="B340" s="338"/>
      <c r="C340" s="56"/>
      <c r="D340" s="54"/>
      <c r="E340" s="54"/>
      <c r="F340" s="55"/>
      <c r="G340" s="114"/>
      <c r="H340" s="22"/>
    </row>
    <row r="341" spans="1:8" x14ac:dyDescent="0.2">
      <c r="A341" s="332"/>
      <c r="B341" s="338"/>
      <c r="C341" s="50"/>
      <c r="D341" s="23"/>
      <c r="E341" s="57"/>
      <c r="F341" s="25"/>
      <c r="G341" s="114"/>
      <c r="H341" s="22"/>
    </row>
    <row r="342" spans="1:8" ht="13.5" thickBot="1" x14ac:dyDescent="0.25">
      <c r="A342" s="375"/>
      <c r="B342" s="376"/>
      <c r="C342" s="43"/>
      <c r="D342" s="44"/>
      <c r="E342" s="35"/>
      <c r="F342" s="36"/>
      <c r="G342" s="116"/>
      <c r="H342" s="22"/>
    </row>
    <row r="343" spans="1:8" ht="13.5" thickBot="1" x14ac:dyDescent="0.25">
      <c r="A343" s="10"/>
      <c r="B343" s="10"/>
      <c r="C343" s="10"/>
      <c r="D343" s="10"/>
      <c r="E343" s="10"/>
      <c r="F343" s="10"/>
      <c r="G343" s="38" t="s">
        <v>14</v>
      </c>
      <c r="H343" s="58">
        <f>G339</f>
        <v>0</v>
      </c>
    </row>
    <row r="344" spans="1:8" ht="13.5" thickBot="1" x14ac:dyDescent="0.25">
      <c r="A344" s="46" t="s">
        <v>25</v>
      </c>
      <c r="B344" s="46"/>
      <c r="C344" s="10"/>
      <c r="D344" s="10"/>
      <c r="E344" s="10"/>
      <c r="F344" s="10"/>
      <c r="G344" s="10"/>
      <c r="H344" s="10"/>
    </row>
    <row r="345" spans="1:8" x14ac:dyDescent="0.2">
      <c r="A345" s="110" t="s">
        <v>26</v>
      </c>
      <c r="B345" s="111"/>
      <c r="C345" s="59" t="s">
        <v>27</v>
      </c>
      <c r="D345" s="172" t="s">
        <v>28</v>
      </c>
      <c r="E345" s="172" t="s">
        <v>29</v>
      </c>
      <c r="F345" s="172" t="s">
        <v>12</v>
      </c>
      <c r="G345" s="51" t="s">
        <v>13</v>
      </c>
      <c r="H345" s="18"/>
    </row>
    <row r="346" spans="1:8" x14ac:dyDescent="0.2">
      <c r="A346" s="357" t="s">
        <v>129</v>
      </c>
      <c r="B346" s="377"/>
      <c r="C346" s="60">
        <f>100%*E346/D346</f>
        <v>217582.41758241758</v>
      </c>
      <c r="D346" s="61">
        <v>1.82</v>
      </c>
      <c r="E346" s="24">
        <v>396000</v>
      </c>
      <c r="F346" s="25">
        <v>8.5000000000000006E-3</v>
      </c>
      <c r="G346" s="62">
        <f>E346*F346</f>
        <v>3366.0000000000005</v>
      </c>
      <c r="H346" s="12"/>
    </row>
    <row r="347" spans="1:8" x14ac:dyDescent="0.2">
      <c r="A347" s="332"/>
      <c r="B347" s="338"/>
      <c r="C347" s="63"/>
      <c r="D347" s="61"/>
      <c r="E347" s="24"/>
      <c r="F347" s="25"/>
      <c r="G347" s="114"/>
      <c r="H347" s="22"/>
    </row>
    <row r="348" spans="1:8" x14ac:dyDescent="0.2">
      <c r="A348" s="332"/>
      <c r="B348" s="338"/>
      <c r="C348" s="64"/>
      <c r="D348" s="23"/>
      <c r="E348" s="24"/>
      <c r="F348" s="25"/>
      <c r="G348" s="114"/>
      <c r="H348" s="22"/>
    </row>
    <row r="349" spans="1:8" ht="13.5" thickBot="1" x14ac:dyDescent="0.25">
      <c r="A349" s="375"/>
      <c r="B349" s="376"/>
      <c r="C349" s="65"/>
      <c r="D349" s="42"/>
      <c r="E349" s="42"/>
      <c r="F349" s="42"/>
      <c r="G349" s="115"/>
      <c r="H349" s="37"/>
    </row>
    <row r="350" spans="1:8" ht="29.25" customHeight="1" thickBot="1" x14ac:dyDescent="0.25">
      <c r="A350" s="10"/>
      <c r="B350" s="10"/>
      <c r="C350" s="10"/>
      <c r="D350" s="10"/>
      <c r="E350" s="10"/>
      <c r="F350" s="10"/>
      <c r="G350" s="38" t="s">
        <v>14</v>
      </c>
      <c r="H350" s="39">
        <f>ROUNDUP(SUM(G346:G346),0)</f>
        <v>3366</v>
      </c>
    </row>
    <row r="351" spans="1:8" ht="13.5" thickBot="1" x14ac:dyDescent="0.25">
      <c r="A351" s="10"/>
      <c r="B351" s="10"/>
      <c r="C351" s="10"/>
      <c r="D351" s="10"/>
      <c r="E351" s="10"/>
      <c r="F351" s="10"/>
      <c r="G351" s="66"/>
      <c r="H351" s="10"/>
    </row>
    <row r="352" spans="1:8" ht="13.5" thickBot="1" x14ac:dyDescent="0.25">
      <c r="A352" s="10"/>
      <c r="B352" s="10"/>
      <c r="C352" s="10"/>
      <c r="D352" s="10"/>
      <c r="E352" s="8" t="s">
        <v>30</v>
      </c>
      <c r="F352" s="8"/>
      <c r="G352" s="8"/>
      <c r="H352" s="108">
        <f>ROUND(SUM(H329+H336+H343+H350),0)</f>
        <v>9628</v>
      </c>
    </row>
    <row r="353" spans="1:8" x14ac:dyDescent="0.2">
      <c r="A353" s="10"/>
      <c r="B353" s="10"/>
      <c r="C353" s="10"/>
      <c r="D353" s="10"/>
      <c r="E353" s="8"/>
      <c r="F353" s="8"/>
      <c r="G353" s="8"/>
      <c r="H353" s="175"/>
    </row>
    <row r="354" spans="1:8" x14ac:dyDescent="0.2">
      <c r="A354" s="10"/>
      <c r="B354" s="10"/>
      <c r="C354" s="10"/>
      <c r="D354" s="10"/>
      <c r="E354" s="8"/>
      <c r="F354" s="8"/>
      <c r="G354" s="8"/>
      <c r="H354" s="175"/>
    </row>
    <row r="355" spans="1:8" x14ac:dyDescent="0.2">
      <c r="A355" s="10"/>
      <c r="B355" s="10"/>
      <c r="C355" s="10"/>
      <c r="D355" s="10"/>
      <c r="E355" s="8"/>
      <c r="F355" s="8"/>
      <c r="G355" s="8"/>
      <c r="H355" s="175"/>
    </row>
  </sheetData>
  <mergeCells count="193">
    <mergeCell ref="A291:C291"/>
    <mergeCell ref="A303:B303"/>
    <mergeCell ref="A304:B304"/>
    <mergeCell ref="A305:B305"/>
    <mergeCell ref="A306:B306"/>
    <mergeCell ref="A318:A320"/>
    <mergeCell ref="B318:F322"/>
    <mergeCell ref="A295:B295"/>
    <mergeCell ref="A296:B296"/>
    <mergeCell ref="A297:B297"/>
    <mergeCell ref="A298:B298"/>
    <mergeCell ref="A307:B307"/>
    <mergeCell ref="A213:B213"/>
    <mergeCell ref="A214:B214"/>
    <mergeCell ref="A283:C283"/>
    <mergeCell ref="A278:C278"/>
    <mergeCell ref="A281:C281"/>
    <mergeCell ref="A282:C282"/>
    <mergeCell ref="A245:B245"/>
    <mergeCell ref="A246:B246"/>
    <mergeCell ref="A247:B247"/>
    <mergeCell ref="A248:B248"/>
    <mergeCell ref="A252:B252"/>
    <mergeCell ref="A237:C237"/>
    <mergeCell ref="A238:C238"/>
    <mergeCell ref="A239:C239"/>
    <mergeCell ref="A240:C240"/>
    <mergeCell ref="A241:C241"/>
    <mergeCell ref="A230:C230"/>
    <mergeCell ref="A231:C231"/>
    <mergeCell ref="A232:C232"/>
    <mergeCell ref="A233:C233"/>
    <mergeCell ref="A236:C236"/>
    <mergeCell ref="A226:A227"/>
    <mergeCell ref="B226:F227"/>
    <mergeCell ref="A229:C229"/>
    <mergeCell ref="A187:C187"/>
    <mergeCell ref="A188:C188"/>
    <mergeCell ref="A205:B205"/>
    <mergeCell ref="A206:B206"/>
    <mergeCell ref="A210:B210"/>
    <mergeCell ref="A211:B211"/>
    <mergeCell ref="A212:B212"/>
    <mergeCell ref="A197:C197"/>
    <mergeCell ref="A198:C198"/>
    <mergeCell ref="A199:C199"/>
    <mergeCell ref="A203:B203"/>
    <mergeCell ref="A204:B204"/>
    <mergeCell ref="A76:B76"/>
    <mergeCell ref="A77:B77"/>
    <mergeCell ref="A78:B78"/>
    <mergeCell ref="P156:R156"/>
    <mergeCell ref="D179:H181"/>
    <mergeCell ref="A67:B67"/>
    <mergeCell ref="A68:B68"/>
    <mergeCell ref="A69:B69"/>
    <mergeCell ref="A74:B74"/>
    <mergeCell ref="A75:B75"/>
    <mergeCell ref="A161:B161"/>
    <mergeCell ref="A162:B162"/>
    <mergeCell ref="A163:B163"/>
    <mergeCell ref="A167:B167"/>
    <mergeCell ref="A168:B168"/>
    <mergeCell ref="A169:B169"/>
    <mergeCell ref="A170:B170"/>
    <mergeCell ref="A171:B171"/>
    <mergeCell ref="A146:C146"/>
    <mergeCell ref="A148:C148"/>
    <mergeCell ref="A149:C149"/>
    <mergeCell ref="A112:C112"/>
    <mergeCell ref="A105:C105"/>
    <mergeCell ref="A106:C106"/>
    <mergeCell ref="A59:C59"/>
    <mergeCell ref="A60:C60"/>
    <mergeCell ref="A61:C61"/>
    <mergeCell ref="A62:C62"/>
    <mergeCell ref="A66:B66"/>
    <mergeCell ref="A51:C51"/>
    <mergeCell ref="A52:C52"/>
    <mergeCell ref="A53:C53"/>
    <mergeCell ref="A55:C55"/>
    <mergeCell ref="A56:C56"/>
    <mergeCell ref="A34:B34"/>
    <mergeCell ref="A35:B35"/>
    <mergeCell ref="A36:B36"/>
    <mergeCell ref="D43:H45"/>
    <mergeCell ref="A46:A48"/>
    <mergeCell ref="B46:F50"/>
    <mergeCell ref="G46:H50"/>
    <mergeCell ref="A20:C20"/>
    <mergeCell ref="A24:B24"/>
    <mergeCell ref="A25:B25"/>
    <mergeCell ref="A26:B26"/>
    <mergeCell ref="A27:B27"/>
    <mergeCell ref="A32:B32"/>
    <mergeCell ref="A33:B33"/>
    <mergeCell ref="D1:H3"/>
    <mergeCell ref="A4:A6"/>
    <mergeCell ref="B4:F8"/>
    <mergeCell ref="G4:H8"/>
    <mergeCell ref="A9:C9"/>
    <mergeCell ref="A10:C10"/>
    <mergeCell ref="A11:C11"/>
    <mergeCell ref="A13:C13"/>
    <mergeCell ref="A14:C14"/>
    <mergeCell ref="A17:C17"/>
    <mergeCell ref="A18:C18"/>
    <mergeCell ref="A19:C19"/>
    <mergeCell ref="D136:H138"/>
    <mergeCell ref="A139:A141"/>
    <mergeCell ref="B139:F143"/>
    <mergeCell ref="G139:H143"/>
    <mergeCell ref="A144:C144"/>
    <mergeCell ref="A145:C145"/>
    <mergeCell ref="D86:H88"/>
    <mergeCell ref="A89:A91"/>
    <mergeCell ref="B89:F93"/>
    <mergeCell ref="G89:H93"/>
    <mergeCell ref="A116:B116"/>
    <mergeCell ref="A94:C94"/>
    <mergeCell ref="A96:C96"/>
    <mergeCell ref="A95:C95"/>
    <mergeCell ref="A98:C98"/>
    <mergeCell ref="A99:C99"/>
    <mergeCell ref="A102:C102"/>
    <mergeCell ref="A103:C103"/>
    <mergeCell ref="A104:C104"/>
    <mergeCell ref="A110:C110"/>
    <mergeCell ref="A111:C111"/>
    <mergeCell ref="A349:B349"/>
    <mergeCell ref="A339:B339"/>
    <mergeCell ref="A328:C328"/>
    <mergeCell ref="A331:C331"/>
    <mergeCell ref="A332:C332"/>
    <mergeCell ref="A333:C333"/>
    <mergeCell ref="A334:C334"/>
    <mergeCell ref="A335:C335"/>
    <mergeCell ref="A323:C323"/>
    <mergeCell ref="A324:C324"/>
    <mergeCell ref="A340:B340"/>
    <mergeCell ref="A341:B341"/>
    <mergeCell ref="A342:B342"/>
    <mergeCell ref="A346:B346"/>
    <mergeCell ref="A347:B347"/>
    <mergeCell ref="A348:B348"/>
    <mergeCell ref="A325:C325"/>
    <mergeCell ref="A327:C327"/>
    <mergeCell ref="A127:B127"/>
    <mergeCell ref="A128:B128"/>
    <mergeCell ref="A117:B117"/>
    <mergeCell ref="A124:B124"/>
    <mergeCell ref="A125:B125"/>
    <mergeCell ref="A126:B126"/>
    <mergeCell ref="A118:B118"/>
    <mergeCell ref="A119:B119"/>
    <mergeCell ref="A152:C152"/>
    <mergeCell ref="A289:C289"/>
    <mergeCell ref="A290:C290"/>
    <mergeCell ref="A273:C273"/>
    <mergeCell ref="A274:C274"/>
    <mergeCell ref="A275:C275"/>
    <mergeCell ref="D265:H267"/>
    <mergeCell ref="A277:C277"/>
    <mergeCell ref="A284:C284"/>
    <mergeCell ref="A285:C285"/>
    <mergeCell ref="A286:C286"/>
    <mergeCell ref="A287:C287"/>
    <mergeCell ref="A268:A270"/>
    <mergeCell ref="B268:F272"/>
    <mergeCell ref="A107:C107"/>
    <mergeCell ref="A108:C108"/>
    <mergeCell ref="A153:C153"/>
    <mergeCell ref="A154:C154"/>
    <mergeCell ref="A155:C155"/>
    <mergeCell ref="A156:C156"/>
    <mergeCell ref="A160:B160"/>
    <mergeCell ref="D315:H317"/>
    <mergeCell ref="G318:H322"/>
    <mergeCell ref="D223:H225"/>
    <mergeCell ref="G226:H227"/>
    <mergeCell ref="G268:H272"/>
    <mergeCell ref="A253:B253"/>
    <mergeCell ref="A254:B254"/>
    <mergeCell ref="A255:B255"/>
    <mergeCell ref="A256:B256"/>
    <mergeCell ref="A189:C189"/>
    <mergeCell ref="A191:C191"/>
    <mergeCell ref="A192:C192"/>
    <mergeCell ref="A195:C195"/>
    <mergeCell ref="A196:C196"/>
    <mergeCell ref="A182:A184"/>
    <mergeCell ref="B182:F186"/>
    <mergeCell ref="G182:H186"/>
  </mergeCells>
  <pageMargins left="0.7" right="0.7" top="0.75" bottom="0.75" header="0.3" footer="0.3"/>
  <pageSetup paperSize="9" scale="97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BA2C7-B3F4-4B71-BF1C-F78B353C6F74}">
  <dimension ref="A1:K225"/>
  <sheetViews>
    <sheetView topLeftCell="A27" workbookViewId="0">
      <selection activeCell="A186" sqref="A186:A188"/>
    </sheetView>
  </sheetViews>
  <sheetFormatPr baseColWidth="10" defaultRowHeight="12.75" x14ac:dyDescent="0.2"/>
  <sheetData>
    <row r="1" spans="1:8" x14ac:dyDescent="0.2">
      <c r="A1" s="4"/>
      <c r="B1" s="5"/>
      <c r="C1" s="6"/>
      <c r="D1" s="339" t="s">
        <v>6</v>
      </c>
      <c r="E1" s="340"/>
      <c r="F1" s="340"/>
      <c r="G1" s="340"/>
      <c r="H1" s="341"/>
    </row>
    <row r="2" spans="1:8" x14ac:dyDescent="0.2">
      <c r="A2" s="7"/>
      <c r="B2" s="8"/>
      <c r="C2" s="9"/>
      <c r="D2" s="342"/>
      <c r="E2" s="343"/>
      <c r="F2" s="343"/>
      <c r="G2" s="343"/>
      <c r="H2" s="344"/>
    </row>
    <row r="3" spans="1:8" ht="13.5" thickBot="1" x14ac:dyDescent="0.25">
      <c r="A3" s="13"/>
      <c r="B3" s="14"/>
      <c r="C3" s="15"/>
      <c r="D3" s="345"/>
      <c r="E3" s="346"/>
      <c r="F3" s="346"/>
      <c r="G3" s="346"/>
      <c r="H3" s="347"/>
    </row>
    <row r="4" spans="1:8" x14ac:dyDescent="0.2">
      <c r="A4" s="348" t="s">
        <v>199</v>
      </c>
      <c r="B4" s="366" t="s">
        <v>196</v>
      </c>
      <c r="C4" s="367"/>
      <c r="D4" s="367"/>
      <c r="E4" s="367"/>
      <c r="F4" s="368"/>
      <c r="G4" s="348" t="s">
        <v>134</v>
      </c>
      <c r="H4" s="349"/>
    </row>
    <row r="5" spans="1:8" x14ac:dyDescent="0.2">
      <c r="A5" s="350"/>
      <c r="B5" s="369"/>
      <c r="C5" s="370"/>
      <c r="D5" s="370"/>
      <c r="E5" s="370"/>
      <c r="F5" s="371"/>
      <c r="G5" s="350"/>
      <c r="H5" s="351"/>
    </row>
    <row r="6" spans="1:8" ht="13.5" thickBot="1" x14ac:dyDescent="0.25">
      <c r="A6" s="352"/>
      <c r="B6" s="369"/>
      <c r="C6" s="370"/>
      <c r="D6" s="370"/>
      <c r="E6" s="370"/>
      <c r="F6" s="371"/>
      <c r="G6" s="350"/>
      <c r="H6" s="351"/>
    </row>
    <row r="7" spans="1:8" ht="25.5" customHeight="1" x14ac:dyDescent="0.2">
      <c r="A7" s="68"/>
      <c r="B7" s="369"/>
      <c r="C7" s="370"/>
      <c r="D7" s="370"/>
      <c r="E7" s="370"/>
      <c r="F7" s="371"/>
      <c r="G7" s="350"/>
      <c r="H7" s="351"/>
    </row>
    <row r="8" spans="1:8" ht="33.75" customHeight="1" thickBot="1" x14ac:dyDescent="0.25">
      <c r="A8" s="69" t="s">
        <v>8</v>
      </c>
      <c r="B8" s="372"/>
      <c r="C8" s="373"/>
      <c r="D8" s="373"/>
      <c r="E8" s="373"/>
      <c r="F8" s="374"/>
      <c r="G8" s="352"/>
      <c r="H8" s="353"/>
    </row>
    <row r="9" spans="1:8" x14ac:dyDescent="0.2">
      <c r="A9" s="363" t="s">
        <v>9</v>
      </c>
      <c r="B9" s="364"/>
      <c r="C9" s="365"/>
      <c r="D9" s="188" t="s">
        <v>10</v>
      </c>
      <c r="E9" s="188" t="s">
        <v>11</v>
      </c>
      <c r="F9" s="188" t="s">
        <v>12</v>
      </c>
      <c r="G9" s="187" t="s">
        <v>13</v>
      </c>
      <c r="H9" s="18"/>
    </row>
    <row r="10" spans="1:8" x14ac:dyDescent="0.2">
      <c r="A10" s="357" t="s">
        <v>184</v>
      </c>
      <c r="B10" s="358"/>
      <c r="C10" s="359"/>
      <c r="D10" s="19"/>
      <c r="E10" s="189">
        <f>H41</f>
        <v>142500</v>
      </c>
      <c r="F10" s="20">
        <v>20</v>
      </c>
      <c r="G10" s="21">
        <f>E10/F10</f>
        <v>7125</v>
      </c>
      <c r="H10" s="22"/>
    </row>
    <row r="11" spans="1:8" x14ac:dyDescent="0.2">
      <c r="A11" s="27" t="s">
        <v>118</v>
      </c>
      <c r="B11" s="28"/>
      <c r="C11" s="29"/>
      <c r="D11" s="30" t="s">
        <v>120</v>
      </c>
      <c r="E11" s="24">
        <v>75000</v>
      </c>
      <c r="F11" s="25">
        <v>5</v>
      </c>
      <c r="G11" s="26">
        <f>E11/F11</f>
        <v>15000</v>
      </c>
      <c r="H11" s="22"/>
    </row>
    <row r="12" spans="1:8" x14ac:dyDescent="0.2">
      <c r="A12" s="357" t="s">
        <v>126</v>
      </c>
      <c r="B12" s="358"/>
      <c r="C12" s="359"/>
      <c r="D12" s="31" t="s">
        <v>119</v>
      </c>
      <c r="E12" s="32">
        <v>55000</v>
      </c>
      <c r="F12" s="25">
        <v>4</v>
      </c>
      <c r="G12" s="26">
        <f>E12/F12</f>
        <v>13750</v>
      </c>
      <c r="H12" s="22"/>
    </row>
    <row r="13" spans="1:8" ht="13.5" thickBot="1" x14ac:dyDescent="0.25">
      <c r="A13" s="360"/>
      <c r="B13" s="361"/>
      <c r="C13" s="362"/>
      <c r="D13" s="33"/>
      <c r="E13" s="34"/>
      <c r="F13" s="35"/>
      <c r="G13" s="36"/>
      <c r="H13" s="37"/>
    </row>
    <row r="14" spans="1:8" ht="13.5" thickBot="1" x14ac:dyDescent="0.25">
      <c r="A14" s="10"/>
      <c r="B14" s="10"/>
      <c r="C14" s="10"/>
      <c r="D14" s="10"/>
      <c r="E14" s="10"/>
      <c r="F14" s="10"/>
      <c r="G14" s="38" t="s">
        <v>14</v>
      </c>
      <c r="H14" s="107">
        <f>ROUNDUP(SUM(G10:G12),0)</f>
        <v>35875</v>
      </c>
    </row>
    <row r="15" spans="1:8" ht="13.5" thickBot="1" x14ac:dyDescent="0.25">
      <c r="A15" s="11" t="s">
        <v>15</v>
      </c>
      <c r="B15" s="11"/>
      <c r="C15" s="11"/>
      <c r="D15" s="10"/>
      <c r="E15" s="10"/>
      <c r="F15" s="10"/>
      <c r="G15" s="10"/>
      <c r="H15" s="10"/>
    </row>
    <row r="16" spans="1:8" x14ac:dyDescent="0.2">
      <c r="A16" s="363" t="s">
        <v>9</v>
      </c>
      <c r="B16" s="364"/>
      <c r="C16" s="365"/>
      <c r="D16" s="188" t="s">
        <v>16</v>
      </c>
      <c r="E16" s="188" t="s">
        <v>17</v>
      </c>
      <c r="F16" s="188" t="s">
        <v>18</v>
      </c>
      <c r="G16" s="187" t="s">
        <v>13</v>
      </c>
      <c r="H16" s="18"/>
    </row>
    <row r="17" spans="1:8" x14ac:dyDescent="0.2">
      <c r="A17" s="332" t="s">
        <v>121</v>
      </c>
      <c r="B17" s="333"/>
      <c r="C17" s="334"/>
      <c r="D17" s="23" t="s">
        <v>34</v>
      </c>
      <c r="E17" s="24">
        <v>580000</v>
      </c>
      <c r="F17" s="40">
        <v>1.05</v>
      </c>
      <c r="G17" s="41">
        <f>E17*F17</f>
        <v>609000</v>
      </c>
      <c r="H17" s="22"/>
    </row>
    <row r="18" spans="1:8" x14ac:dyDescent="0.2">
      <c r="A18" s="332" t="s">
        <v>124</v>
      </c>
      <c r="B18" s="333"/>
      <c r="C18" s="334"/>
      <c r="D18" s="23" t="s">
        <v>140</v>
      </c>
      <c r="E18" s="24">
        <v>9900</v>
      </c>
      <c r="F18" s="40">
        <v>0.04</v>
      </c>
      <c r="G18" s="41">
        <f t="shared" ref="G18" si="0">E18*F18</f>
        <v>396</v>
      </c>
      <c r="H18" s="22"/>
    </row>
    <row r="19" spans="1:8" x14ac:dyDescent="0.2">
      <c r="A19" s="332"/>
      <c r="B19" s="333"/>
      <c r="C19" s="334"/>
      <c r="D19" s="23"/>
      <c r="E19" s="24"/>
      <c r="F19" s="40"/>
      <c r="G19" s="41"/>
      <c r="H19" s="22"/>
    </row>
    <row r="20" spans="1:8" x14ac:dyDescent="0.2">
      <c r="A20" s="332"/>
      <c r="B20" s="333"/>
      <c r="C20" s="334"/>
      <c r="D20" s="23"/>
      <c r="E20" s="24"/>
      <c r="F20" s="40"/>
      <c r="G20" s="41"/>
      <c r="H20" s="22"/>
    </row>
    <row r="21" spans="1:8" x14ac:dyDescent="0.2">
      <c r="A21" s="183"/>
      <c r="B21" s="185"/>
      <c r="C21" s="186"/>
      <c r="D21" s="23"/>
      <c r="E21" s="24"/>
      <c r="F21" s="40"/>
      <c r="G21" s="41"/>
      <c r="H21" s="22"/>
    </row>
    <row r="22" spans="1:8" x14ac:dyDescent="0.2">
      <c r="A22" s="332"/>
      <c r="B22" s="333"/>
      <c r="C22" s="334"/>
      <c r="D22" s="23"/>
      <c r="E22" s="24"/>
      <c r="F22" s="40"/>
      <c r="G22" s="41"/>
      <c r="H22" s="22"/>
    </row>
    <row r="23" spans="1:8" x14ac:dyDescent="0.2">
      <c r="A23" s="332"/>
      <c r="B23" s="333"/>
      <c r="C23" s="334"/>
      <c r="D23" s="23"/>
      <c r="E23" s="24"/>
      <c r="F23" s="40"/>
      <c r="G23" s="41"/>
      <c r="H23" s="22"/>
    </row>
    <row r="24" spans="1:8" ht="13.5" thickBot="1" x14ac:dyDescent="0.25">
      <c r="A24" s="335"/>
      <c r="B24" s="336"/>
      <c r="C24" s="337"/>
      <c r="D24" s="43"/>
      <c r="E24" s="44"/>
      <c r="F24" s="35"/>
      <c r="G24" s="36"/>
      <c r="H24" s="37"/>
    </row>
    <row r="25" spans="1:8" ht="13.5" thickBot="1" x14ac:dyDescent="0.25">
      <c r="A25" s="10"/>
      <c r="B25" s="10"/>
      <c r="C25" s="10"/>
      <c r="D25" s="10"/>
      <c r="E25" s="10"/>
      <c r="F25" s="10"/>
      <c r="G25" s="38" t="s">
        <v>14</v>
      </c>
      <c r="H25" s="45">
        <f>SUM(G17:G24)</f>
        <v>609396</v>
      </c>
    </row>
    <row r="26" spans="1:8" ht="13.5" thickBot="1" x14ac:dyDescent="0.25">
      <c r="A26" s="46" t="s">
        <v>19</v>
      </c>
      <c r="B26" s="46"/>
      <c r="C26" s="47"/>
      <c r="D26" s="10"/>
      <c r="E26" s="10"/>
      <c r="F26" s="10"/>
      <c r="G26" s="10"/>
      <c r="H26" s="10"/>
    </row>
    <row r="27" spans="1:8" x14ac:dyDescent="0.2">
      <c r="A27" s="110" t="s">
        <v>20</v>
      </c>
      <c r="B27" s="111"/>
      <c r="C27" s="112" t="s">
        <v>21</v>
      </c>
      <c r="D27" s="188" t="s">
        <v>22</v>
      </c>
      <c r="E27" s="188" t="s">
        <v>23</v>
      </c>
      <c r="F27" s="188" t="s">
        <v>24</v>
      </c>
      <c r="G27" s="51" t="s">
        <v>13</v>
      </c>
      <c r="H27" s="52"/>
    </row>
    <row r="28" spans="1:8" x14ac:dyDescent="0.2">
      <c r="A28" s="332" t="s">
        <v>128</v>
      </c>
      <c r="B28" s="338"/>
      <c r="C28" s="53">
        <v>0.1</v>
      </c>
      <c r="D28" s="54" t="s">
        <v>34</v>
      </c>
      <c r="E28" s="54">
        <v>11</v>
      </c>
      <c r="F28" s="55">
        <v>250</v>
      </c>
      <c r="G28" s="114">
        <f>C28*E28*F28</f>
        <v>275</v>
      </c>
      <c r="H28" s="22"/>
    </row>
    <row r="29" spans="1:8" x14ac:dyDescent="0.2">
      <c r="A29" s="332"/>
      <c r="B29" s="338"/>
      <c r="C29" s="56"/>
      <c r="D29" s="54"/>
      <c r="E29" s="54"/>
      <c r="F29" s="55"/>
      <c r="G29" s="114"/>
      <c r="H29" s="22"/>
    </row>
    <row r="30" spans="1:8" x14ac:dyDescent="0.2">
      <c r="A30" s="332"/>
      <c r="B30" s="338"/>
      <c r="C30" s="50"/>
      <c r="D30" s="23"/>
      <c r="E30" s="57"/>
      <c r="F30" s="25"/>
      <c r="G30" s="114"/>
      <c r="H30" s="22"/>
    </row>
    <row r="31" spans="1:8" ht="13.5" thickBot="1" x14ac:dyDescent="0.25">
      <c r="A31" s="375"/>
      <c r="B31" s="376"/>
      <c r="C31" s="43"/>
      <c r="D31" s="44"/>
      <c r="E31" s="35"/>
      <c r="F31" s="36"/>
      <c r="G31" s="116"/>
      <c r="H31" s="22"/>
    </row>
    <row r="32" spans="1:8" ht="13.5" thickBot="1" x14ac:dyDescent="0.25">
      <c r="A32" s="10"/>
      <c r="B32" s="10"/>
      <c r="C32" s="10"/>
      <c r="D32" s="10"/>
      <c r="E32" s="10"/>
      <c r="F32" s="10"/>
      <c r="G32" s="38" t="s">
        <v>14</v>
      </c>
      <c r="H32" s="58">
        <f>G28</f>
        <v>275</v>
      </c>
    </row>
    <row r="33" spans="1:8" ht="13.5" thickBot="1" x14ac:dyDescent="0.25">
      <c r="A33" s="46" t="s">
        <v>25</v>
      </c>
      <c r="B33" s="46"/>
      <c r="C33" s="10"/>
      <c r="D33" s="10"/>
      <c r="E33" s="10"/>
      <c r="F33" s="10"/>
      <c r="G33" s="10"/>
      <c r="H33" s="10"/>
    </row>
    <row r="34" spans="1:8" x14ac:dyDescent="0.2">
      <c r="A34" s="110" t="s">
        <v>26</v>
      </c>
      <c r="B34" s="111"/>
      <c r="C34" s="59" t="s">
        <v>27</v>
      </c>
      <c r="D34" s="188" t="s">
        <v>28</v>
      </c>
      <c r="E34" s="188" t="s">
        <v>29</v>
      </c>
      <c r="F34" s="188" t="s">
        <v>12</v>
      </c>
      <c r="G34" s="51" t="s">
        <v>13</v>
      </c>
      <c r="H34" s="18"/>
    </row>
    <row r="35" spans="1:8" x14ac:dyDescent="0.2">
      <c r="A35" s="48" t="s">
        <v>145</v>
      </c>
      <c r="B35" s="49"/>
      <c r="C35" s="60">
        <f>100%*E35/D35</f>
        <v>521978.02197802195</v>
      </c>
      <c r="D35" s="61">
        <v>1.82</v>
      </c>
      <c r="E35" s="24">
        <v>950000</v>
      </c>
      <c r="F35" s="25">
        <v>0.15</v>
      </c>
      <c r="G35" s="62">
        <f>E35*F35</f>
        <v>142500</v>
      </c>
      <c r="H35" s="12"/>
    </row>
    <row r="36" spans="1:8" x14ac:dyDescent="0.2">
      <c r="A36" s="357"/>
      <c r="B36" s="377"/>
      <c r="C36" s="60"/>
      <c r="D36" s="61"/>
      <c r="E36" s="24"/>
      <c r="F36" s="25"/>
      <c r="G36" s="62"/>
      <c r="H36" s="12"/>
    </row>
    <row r="37" spans="1:8" x14ac:dyDescent="0.2">
      <c r="A37" s="332"/>
      <c r="B37" s="338"/>
      <c r="C37" s="63"/>
      <c r="D37" s="61"/>
      <c r="E37" s="24"/>
      <c r="F37" s="25"/>
      <c r="G37" s="114"/>
      <c r="H37" s="22"/>
    </row>
    <row r="38" spans="1:8" x14ac:dyDescent="0.2">
      <c r="A38" s="332"/>
      <c r="B38" s="338"/>
      <c r="C38" s="64"/>
      <c r="D38" s="23"/>
      <c r="E38" s="24"/>
      <c r="F38" s="25"/>
      <c r="G38" s="114"/>
      <c r="H38" s="22"/>
    </row>
    <row r="39" spans="1:8" x14ac:dyDescent="0.2">
      <c r="A39" s="332"/>
      <c r="B39" s="338"/>
      <c r="C39" s="64"/>
      <c r="D39" s="23"/>
      <c r="E39" s="24"/>
      <c r="F39" s="25"/>
      <c r="G39" s="114"/>
      <c r="H39" s="22"/>
    </row>
    <row r="40" spans="1:8" ht="13.5" thickBot="1" x14ac:dyDescent="0.25">
      <c r="A40" s="375"/>
      <c r="B40" s="376"/>
      <c r="C40" s="65"/>
      <c r="D40" s="42"/>
      <c r="E40" s="42"/>
      <c r="F40" s="42"/>
      <c r="G40" s="115"/>
      <c r="H40" s="37"/>
    </row>
    <row r="41" spans="1:8" ht="13.5" thickBot="1" x14ac:dyDescent="0.25">
      <c r="A41" s="10"/>
      <c r="B41" s="10"/>
      <c r="C41" s="10"/>
      <c r="D41" s="10"/>
      <c r="E41" s="10"/>
      <c r="F41" s="10"/>
      <c r="G41" s="38" t="s">
        <v>14</v>
      </c>
      <c r="H41" s="39">
        <f>ROUNDUP(SUM(G35:G36),0)</f>
        <v>142500</v>
      </c>
    </row>
    <row r="42" spans="1:8" ht="13.5" thickBot="1" x14ac:dyDescent="0.25">
      <c r="A42" s="10"/>
      <c r="B42" s="10"/>
      <c r="C42" s="10"/>
      <c r="D42" s="10"/>
      <c r="E42" s="10"/>
      <c r="F42" s="10"/>
      <c r="G42" s="66"/>
      <c r="H42" s="10"/>
    </row>
    <row r="43" spans="1:8" ht="13.5" thickBot="1" x14ac:dyDescent="0.25">
      <c r="A43" s="10"/>
      <c r="B43" s="10"/>
      <c r="C43" s="10"/>
      <c r="D43" s="10"/>
      <c r="E43" s="8" t="s">
        <v>30</v>
      </c>
      <c r="F43" s="8"/>
      <c r="G43" s="8"/>
      <c r="H43" s="180">
        <f>ROUND(SUM(H14+H25+H32+H41),0)</f>
        <v>788046</v>
      </c>
    </row>
    <row r="46" spans="1:8" ht="13.5" thickBot="1" x14ac:dyDescent="0.25"/>
    <row r="47" spans="1:8" x14ac:dyDescent="0.2">
      <c r="A47" s="4"/>
      <c r="B47" s="5"/>
      <c r="C47" s="6"/>
      <c r="D47" s="339" t="s">
        <v>6</v>
      </c>
      <c r="E47" s="340"/>
      <c r="F47" s="340"/>
      <c r="G47" s="340"/>
      <c r="H47" s="341"/>
    </row>
    <row r="48" spans="1:8" x14ac:dyDescent="0.2">
      <c r="A48" s="7"/>
      <c r="B48" s="8"/>
      <c r="C48" s="9"/>
      <c r="D48" s="342"/>
      <c r="E48" s="343"/>
      <c r="F48" s="343"/>
      <c r="G48" s="343"/>
      <c r="H48" s="344"/>
    </row>
    <row r="49" spans="1:8" ht="33" customHeight="1" thickBot="1" x14ac:dyDescent="0.25">
      <c r="A49" s="13"/>
      <c r="B49" s="14"/>
      <c r="C49" s="15"/>
      <c r="D49" s="345"/>
      <c r="E49" s="346"/>
      <c r="F49" s="346"/>
      <c r="G49" s="346"/>
      <c r="H49" s="347"/>
    </row>
    <row r="50" spans="1:8" x14ac:dyDescent="0.2">
      <c r="A50" s="348" t="s">
        <v>201</v>
      </c>
      <c r="B50" s="366" t="s">
        <v>200</v>
      </c>
      <c r="C50" s="367"/>
      <c r="D50" s="367"/>
      <c r="E50" s="367"/>
      <c r="F50" s="368"/>
      <c r="G50" s="348" t="s">
        <v>155</v>
      </c>
      <c r="H50" s="349"/>
    </row>
    <row r="51" spans="1:8" x14ac:dyDescent="0.2">
      <c r="A51" s="350"/>
      <c r="B51" s="369"/>
      <c r="C51" s="370"/>
      <c r="D51" s="370"/>
      <c r="E51" s="370"/>
      <c r="F51" s="371"/>
      <c r="G51" s="350"/>
      <c r="H51" s="351"/>
    </row>
    <row r="52" spans="1:8" ht="13.5" thickBot="1" x14ac:dyDescent="0.25">
      <c r="A52" s="352"/>
      <c r="B52" s="369"/>
      <c r="C52" s="370"/>
      <c r="D52" s="370"/>
      <c r="E52" s="370"/>
      <c r="F52" s="371"/>
      <c r="G52" s="350"/>
      <c r="H52" s="351"/>
    </row>
    <row r="53" spans="1:8" x14ac:dyDescent="0.2">
      <c r="A53" s="68"/>
      <c r="B53" s="369"/>
      <c r="C53" s="370"/>
      <c r="D53" s="370"/>
      <c r="E53" s="370"/>
      <c r="F53" s="371"/>
      <c r="G53" s="350"/>
      <c r="H53" s="351"/>
    </row>
    <row r="54" spans="1:8" ht="13.5" thickBot="1" x14ac:dyDescent="0.25">
      <c r="A54" s="69" t="s">
        <v>8</v>
      </c>
      <c r="B54" s="372"/>
      <c r="C54" s="373"/>
      <c r="D54" s="373"/>
      <c r="E54" s="373"/>
      <c r="F54" s="374"/>
      <c r="G54" s="352"/>
      <c r="H54" s="353"/>
    </row>
    <row r="55" spans="1:8" x14ac:dyDescent="0.2">
      <c r="A55" s="363" t="s">
        <v>9</v>
      </c>
      <c r="B55" s="364"/>
      <c r="C55" s="365"/>
      <c r="D55" s="188" t="s">
        <v>10</v>
      </c>
      <c r="E55" s="188" t="s">
        <v>11</v>
      </c>
      <c r="F55" s="188" t="s">
        <v>12</v>
      </c>
      <c r="G55" s="187" t="s">
        <v>13</v>
      </c>
      <c r="H55" s="18"/>
    </row>
    <row r="56" spans="1:8" x14ac:dyDescent="0.2">
      <c r="A56" s="357" t="s">
        <v>184</v>
      </c>
      <c r="B56" s="358"/>
      <c r="C56" s="359"/>
      <c r="D56" s="19"/>
      <c r="E56" s="189">
        <f>H87</f>
        <v>142500</v>
      </c>
      <c r="F56" s="20">
        <v>20</v>
      </c>
      <c r="G56" s="21">
        <f>E56/F56</f>
        <v>7125</v>
      </c>
      <c r="H56" s="22"/>
    </row>
    <row r="57" spans="1:8" x14ac:dyDescent="0.2">
      <c r="A57" s="27" t="s">
        <v>118</v>
      </c>
      <c r="B57" s="28"/>
      <c r="C57" s="29"/>
      <c r="D57" s="30" t="s">
        <v>120</v>
      </c>
      <c r="E57" s="24">
        <v>75000</v>
      </c>
      <c r="F57" s="25">
        <v>5</v>
      </c>
      <c r="G57" s="26">
        <f>E57/F57</f>
        <v>15000</v>
      </c>
      <c r="H57" s="22"/>
    </row>
    <row r="58" spans="1:8" x14ac:dyDescent="0.2">
      <c r="A58" s="357" t="s">
        <v>126</v>
      </c>
      <c r="B58" s="358"/>
      <c r="C58" s="359"/>
      <c r="D58" s="31" t="s">
        <v>119</v>
      </c>
      <c r="E58" s="32">
        <v>55000</v>
      </c>
      <c r="F58" s="25">
        <v>4</v>
      </c>
      <c r="G58" s="26">
        <f>E58/F58</f>
        <v>13750</v>
      </c>
      <c r="H58" s="22"/>
    </row>
    <row r="59" spans="1:8" ht="13.5" thickBot="1" x14ac:dyDescent="0.25">
      <c r="A59" s="360"/>
      <c r="B59" s="361"/>
      <c r="C59" s="362"/>
      <c r="D59" s="33"/>
      <c r="E59" s="34"/>
      <c r="F59" s="35"/>
      <c r="G59" s="36"/>
      <c r="H59" s="37"/>
    </row>
    <row r="60" spans="1:8" ht="13.5" thickBot="1" x14ac:dyDescent="0.25">
      <c r="A60" s="10"/>
      <c r="B60" s="10"/>
      <c r="C60" s="10"/>
      <c r="D60" s="10"/>
      <c r="E60" s="10"/>
      <c r="F60" s="10"/>
      <c r="G60" s="38" t="s">
        <v>14</v>
      </c>
      <c r="H60" s="107">
        <f>ROUNDUP(SUM(G56:G58),0)</f>
        <v>35875</v>
      </c>
    </row>
    <row r="61" spans="1:8" ht="13.5" thickBot="1" x14ac:dyDescent="0.25">
      <c r="A61" s="11" t="s">
        <v>15</v>
      </c>
      <c r="B61" s="11"/>
      <c r="C61" s="11"/>
      <c r="D61" s="10"/>
      <c r="E61" s="10"/>
      <c r="F61" s="10"/>
      <c r="G61" s="10"/>
      <c r="H61" s="10"/>
    </row>
    <row r="62" spans="1:8" x14ac:dyDescent="0.2">
      <c r="A62" s="363" t="s">
        <v>9</v>
      </c>
      <c r="B62" s="364"/>
      <c r="C62" s="365"/>
      <c r="D62" s="188" t="s">
        <v>16</v>
      </c>
      <c r="E62" s="188" t="s">
        <v>17</v>
      </c>
      <c r="F62" s="188" t="s">
        <v>18</v>
      </c>
      <c r="G62" s="187" t="s">
        <v>13</v>
      </c>
      <c r="H62" s="18"/>
    </row>
    <row r="63" spans="1:8" ht="36" customHeight="1" x14ac:dyDescent="0.2">
      <c r="A63" s="379" t="s">
        <v>177</v>
      </c>
      <c r="B63" s="386"/>
      <c r="C63" s="380"/>
      <c r="D63" s="23" t="s">
        <v>179</v>
      </c>
      <c r="E63" s="24">
        <v>4500</v>
      </c>
      <c r="F63" s="40">
        <v>11.5</v>
      </c>
      <c r="G63" s="41">
        <f>E63*F63</f>
        <v>51750</v>
      </c>
      <c r="H63" s="22"/>
    </row>
    <row r="64" spans="1:8" x14ac:dyDescent="0.2">
      <c r="A64" s="332" t="s">
        <v>178</v>
      </c>
      <c r="B64" s="387"/>
      <c r="C64" s="338"/>
      <c r="D64" s="23" t="s">
        <v>34</v>
      </c>
      <c r="E64" s="24">
        <v>410000</v>
      </c>
      <c r="F64" s="40">
        <v>0.03</v>
      </c>
      <c r="G64" s="41">
        <f t="shared" ref="G64:G65" si="1">E64*F64</f>
        <v>12300</v>
      </c>
      <c r="H64" s="22"/>
    </row>
    <row r="65" spans="1:10" x14ac:dyDescent="0.2">
      <c r="A65" s="332" t="s">
        <v>121</v>
      </c>
      <c r="B65" s="333"/>
      <c r="C65" s="334"/>
      <c r="D65" s="23" t="s">
        <v>34</v>
      </c>
      <c r="E65" s="24">
        <f>E17</f>
        <v>580000</v>
      </c>
      <c r="F65" s="40">
        <f>0.0435*5*1*1.05</f>
        <v>0.22837499999999997</v>
      </c>
      <c r="G65" s="41">
        <f t="shared" si="1"/>
        <v>132457.49999999997</v>
      </c>
      <c r="H65" s="22"/>
    </row>
    <row r="66" spans="1:10" x14ac:dyDescent="0.2">
      <c r="A66" s="332"/>
      <c r="B66" s="387"/>
      <c r="C66" s="338"/>
      <c r="D66" s="23"/>
      <c r="E66" s="24"/>
      <c r="F66" s="40"/>
      <c r="G66" s="41"/>
      <c r="H66" s="22"/>
      <c r="J66">
        <f>0.2*0.2</f>
        <v>4.0000000000000008E-2</v>
      </c>
    </row>
    <row r="67" spans="1:10" x14ac:dyDescent="0.2">
      <c r="A67" s="183"/>
      <c r="B67" s="190"/>
      <c r="C67" s="184"/>
      <c r="D67" s="23"/>
      <c r="E67" s="24"/>
      <c r="F67" s="40"/>
      <c r="G67" s="41"/>
      <c r="H67" s="22"/>
    </row>
    <row r="68" spans="1:10" x14ac:dyDescent="0.2">
      <c r="A68" s="332"/>
      <c r="B68" s="387"/>
      <c r="C68" s="338"/>
      <c r="D68" s="23"/>
      <c r="E68" s="24"/>
      <c r="F68" s="40"/>
      <c r="G68" s="41"/>
      <c r="H68" s="22"/>
    </row>
    <row r="69" spans="1:10" x14ac:dyDescent="0.2">
      <c r="A69" s="332"/>
      <c r="B69" s="387"/>
      <c r="C69" s="338"/>
      <c r="D69" s="23"/>
      <c r="E69" s="24"/>
      <c r="F69" s="40"/>
      <c r="G69" s="41"/>
      <c r="H69" s="22"/>
    </row>
    <row r="70" spans="1:10" ht="13.5" thickBot="1" x14ac:dyDescent="0.25">
      <c r="A70" s="375"/>
      <c r="B70" s="378"/>
      <c r="C70" s="376"/>
      <c r="D70" s="43"/>
      <c r="E70" s="44"/>
      <c r="F70" s="35"/>
      <c r="G70" s="36"/>
      <c r="H70" s="37"/>
    </row>
    <row r="71" spans="1:10" ht="13.5" thickBot="1" x14ac:dyDescent="0.25">
      <c r="A71" s="10"/>
      <c r="B71" s="10"/>
      <c r="C71" s="10"/>
      <c r="D71" s="10"/>
      <c r="E71" s="10"/>
      <c r="F71" s="10"/>
      <c r="G71" s="38" t="s">
        <v>14</v>
      </c>
      <c r="H71" s="45">
        <f>SUM(G63:G70)</f>
        <v>196507.49999999997</v>
      </c>
    </row>
    <row r="72" spans="1:10" ht="13.5" thickBot="1" x14ac:dyDescent="0.25">
      <c r="A72" s="46" t="s">
        <v>19</v>
      </c>
      <c r="B72" s="46"/>
      <c r="C72" s="47"/>
      <c r="D72" s="10"/>
      <c r="E72" s="10"/>
      <c r="F72" s="10"/>
      <c r="G72" s="10"/>
      <c r="H72" s="10"/>
    </row>
    <row r="73" spans="1:10" x14ac:dyDescent="0.2">
      <c r="A73" s="110" t="s">
        <v>20</v>
      </c>
      <c r="B73" s="111"/>
      <c r="C73" s="112" t="s">
        <v>21</v>
      </c>
      <c r="D73" s="188" t="s">
        <v>22</v>
      </c>
      <c r="E73" s="188" t="s">
        <v>23</v>
      </c>
      <c r="F73" s="188" t="s">
        <v>24</v>
      </c>
      <c r="G73" s="51" t="s">
        <v>13</v>
      </c>
      <c r="H73" s="52"/>
    </row>
    <row r="74" spans="1:10" x14ac:dyDescent="0.2">
      <c r="A74" s="332" t="s">
        <v>128</v>
      </c>
      <c r="B74" s="338"/>
      <c r="C74" s="53">
        <v>0.1</v>
      </c>
      <c r="D74" s="54" t="s">
        <v>34</v>
      </c>
      <c r="E74" s="54">
        <v>11</v>
      </c>
      <c r="F74" s="55">
        <v>1400</v>
      </c>
      <c r="G74" s="114">
        <f>C74*E74*F74</f>
        <v>1540.0000000000002</v>
      </c>
      <c r="H74" s="22"/>
    </row>
    <row r="75" spans="1:10" x14ac:dyDescent="0.2">
      <c r="A75" s="332"/>
      <c r="B75" s="338"/>
      <c r="C75" s="56"/>
      <c r="D75" s="54"/>
      <c r="E75" s="54"/>
      <c r="F75" s="55"/>
      <c r="G75" s="114"/>
      <c r="H75" s="22"/>
    </row>
    <row r="76" spans="1:10" x14ac:dyDescent="0.2">
      <c r="A76" s="332"/>
      <c r="B76" s="338"/>
      <c r="C76" s="50"/>
      <c r="D76" s="23"/>
      <c r="E76" s="57"/>
      <c r="F76" s="25"/>
      <c r="G76" s="114"/>
      <c r="H76" s="22"/>
    </row>
    <row r="77" spans="1:10" ht="13.5" thickBot="1" x14ac:dyDescent="0.25">
      <c r="A77" s="375"/>
      <c r="B77" s="376"/>
      <c r="C77" s="43"/>
      <c r="D77" s="44"/>
      <c r="E77" s="35"/>
      <c r="F77" s="36"/>
      <c r="G77" s="116"/>
      <c r="H77" s="22"/>
    </row>
    <row r="78" spans="1:10" ht="13.5" thickBot="1" x14ac:dyDescent="0.25">
      <c r="A78" s="10"/>
      <c r="B78" s="10"/>
      <c r="C78" s="10"/>
      <c r="D78" s="10"/>
      <c r="E78" s="10"/>
      <c r="F78" s="10"/>
      <c r="G78" s="38" t="s">
        <v>14</v>
      </c>
      <c r="H78" s="58">
        <f>G74</f>
        <v>1540.0000000000002</v>
      </c>
    </row>
    <row r="79" spans="1:10" ht="13.5" thickBot="1" x14ac:dyDescent="0.25">
      <c r="A79" s="46" t="s">
        <v>25</v>
      </c>
      <c r="B79" s="46"/>
      <c r="C79" s="10"/>
      <c r="D79" s="10"/>
      <c r="E79" s="10"/>
      <c r="F79" s="10"/>
      <c r="G79" s="10"/>
      <c r="H79" s="10"/>
    </row>
    <row r="80" spans="1:10" x14ac:dyDescent="0.2">
      <c r="A80" s="110" t="s">
        <v>26</v>
      </c>
      <c r="B80" s="111"/>
      <c r="C80" s="59" t="s">
        <v>27</v>
      </c>
      <c r="D80" s="188" t="s">
        <v>28</v>
      </c>
      <c r="E80" s="188" t="s">
        <v>29</v>
      </c>
      <c r="F80" s="188" t="s">
        <v>12</v>
      </c>
      <c r="G80" s="51" t="s">
        <v>13</v>
      </c>
      <c r="H80" s="18"/>
    </row>
    <row r="81" spans="1:8" x14ac:dyDescent="0.2">
      <c r="A81" s="48" t="s">
        <v>145</v>
      </c>
      <c r="B81" s="49"/>
      <c r="C81" s="60">
        <f>100%*E81/D81</f>
        <v>521978.02197802195</v>
      </c>
      <c r="D81" s="61">
        <v>1.82</v>
      </c>
      <c r="E81" s="24">
        <v>950000</v>
      </c>
      <c r="F81" s="25">
        <v>0.15</v>
      </c>
      <c r="G81" s="62">
        <f>E81*F81</f>
        <v>142500</v>
      </c>
      <c r="H81" s="12"/>
    </row>
    <row r="82" spans="1:8" x14ac:dyDescent="0.2">
      <c r="A82" s="357"/>
      <c r="B82" s="377"/>
      <c r="C82" s="60"/>
      <c r="D82" s="61"/>
      <c r="E82" s="24"/>
      <c r="F82" s="25"/>
      <c r="G82" s="62"/>
      <c r="H82" s="12"/>
    </row>
    <row r="83" spans="1:8" x14ac:dyDescent="0.2">
      <c r="A83" s="332"/>
      <c r="B83" s="338"/>
      <c r="C83" s="63"/>
      <c r="D83" s="61"/>
      <c r="E83" s="24"/>
      <c r="F83" s="25"/>
      <c r="G83" s="114"/>
      <c r="H83" s="22"/>
    </row>
    <row r="84" spans="1:8" x14ac:dyDescent="0.2">
      <c r="A84" s="332"/>
      <c r="B84" s="338"/>
      <c r="C84" s="64"/>
      <c r="D84" s="23"/>
      <c r="E84" s="24"/>
      <c r="F84" s="25"/>
      <c r="G84" s="114"/>
      <c r="H84" s="22"/>
    </row>
    <row r="85" spans="1:8" x14ac:dyDescent="0.2">
      <c r="A85" s="332"/>
      <c r="B85" s="338"/>
      <c r="C85" s="64"/>
      <c r="D85" s="23"/>
      <c r="E85" s="24"/>
      <c r="F85" s="25"/>
      <c r="G85" s="114"/>
      <c r="H85" s="22"/>
    </row>
    <row r="86" spans="1:8" ht="13.5" thickBot="1" x14ac:dyDescent="0.25">
      <c r="A86" s="375"/>
      <c r="B86" s="376"/>
      <c r="C86" s="65"/>
      <c r="D86" s="42"/>
      <c r="E86" s="42"/>
      <c r="F86" s="42"/>
      <c r="G86" s="115"/>
      <c r="H86" s="37"/>
    </row>
    <row r="87" spans="1:8" ht="13.5" thickBot="1" x14ac:dyDescent="0.25">
      <c r="A87" s="10"/>
      <c r="B87" s="10"/>
      <c r="C87" s="10"/>
      <c r="D87" s="10"/>
      <c r="E87" s="10"/>
      <c r="F87" s="10"/>
      <c r="G87" s="38" t="s">
        <v>14</v>
      </c>
      <c r="H87" s="39">
        <f>ROUNDUP(SUM(G81:G82),0)</f>
        <v>142500</v>
      </c>
    </row>
    <row r="88" spans="1:8" ht="13.5" thickBot="1" x14ac:dyDescent="0.25">
      <c r="A88" s="10"/>
      <c r="B88" s="10"/>
      <c r="C88" s="10"/>
      <c r="D88" s="10"/>
      <c r="E88" s="10"/>
      <c r="F88" s="10"/>
      <c r="G88" s="66"/>
      <c r="H88" s="10"/>
    </row>
    <row r="89" spans="1:8" ht="13.5" thickBot="1" x14ac:dyDescent="0.25">
      <c r="A89" s="10"/>
      <c r="B89" s="10"/>
      <c r="C89" s="10"/>
      <c r="D89" s="10"/>
      <c r="E89" s="8" t="s">
        <v>30</v>
      </c>
      <c r="F89" s="8"/>
      <c r="G89" s="8"/>
      <c r="H89" s="180">
        <f>ROUND(SUM(H60+H71+H78+H87),0)</f>
        <v>376423</v>
      </c>
    </row>
    <row r="93" spans="1:8" ht="13.5" thickBot="1" x14ac:dyDescent="0.25"/>
    <row r="94" spans="1:8" x14ac:dyDescent="0.2">
      <c r="A94" s="4"/>
      <c r="B94" s="5"/>
      <c r="C94" s="6"/>
      <c r="D94" s="339" t="s">
        <v>6</v>
      </c>
      <c r="E94" s="340"/>
      <c r="F94" s="340"/>
      <c r="G94" s="340"/>
      <c r="H94" s="341"/>
    </row>
    <row r="95" spans="1:8" x14ac:dyDescent="0.2">
      <c r="A95" s="7"/>
      <c r="B95" s="8"/>
      <c r="C95" s="9"/>
      <c r="D95" s="342"/>
      <c r="E95" s="343"/>
      <c r="F95" s="343"/>
      <c r="G95" s="343"/>
      <c r="H95" s="344"/>
    </row>
    <row r="96" spans="1:8" ht="36" customHeight="1" thickBot="1" x14ac:dyDescent="0.25">
      <c r="A96" s="13"/>
      <c r="B96" s="14"/>
      <c r="C96" s="15"/>
      <c r="D96" s="345"/>
      <c r="E96" s="346"/>
      <c r="F96" s="346"/>
      <c r="G96" s="346"/>
      <c r="H96" s="347"/>
    </row>
    <row r="97" spans="1:8" x14ac:dyDescent="0.2">
      <c r="A97" s="348" t="s">
        <v>202</v>
      </c>
      <c r="B97" s="366" t="s">
        <v>183</v>
      </c>
      <c r="C97" s="367"/>
      <c r="D97" s="367"/>
      <c r="E97" s="367"/>
      <c r="F97" s="368"/>
      <c r="G97" s="348" t="s">
        <v>146</v>
      </c>
      <c r="H97" s="349"/>
    </row>
    <row r="98" spans="1:8" x14ac:dyDescent="0.2">
      <c r="A98" s="350"/>
      <c r="B98" s="369"/>
      <c r="C98" s="370"/>
      <c r="D98" s="370"/>
      <c r="E98" s="370"/>
      <c r="F98" s="371"/>
      <c r="G98" s="350"/>
      <c r="H98" s="351"/>
    </row>
    <row r="99" spans="1:8" ht="13.5" thickBot="1" x14ac:dyDescent="0.25">
      <c r="A99" s="352"/>
      <c r="B99" s="369"/>
      <c r="C99" s="370"/>
      <c r="D99" s="370"/>
      <c r="E99" s="370"/>
      <c r="F99" s="371"/>
      <c r="G99" s="350"/>
      <c r="H99" s="351"/>
    </row>
    <row r="100" spans="1:8" x14ac:dyDescent="0.2">
      <c r="A100" s="68"/>
      <c r="B100" s="369"/>
      <c r="C100" s="370"/>
      <c r="D100" s="370"/>
      <c r="E100" s="370"/>
      <c r="F100" s="371"/>
      <c r="G100" s="350"/>
      <c r="H100" s="351"/>
    </row>
    <row r="101" spans="1:8" ht="13.5" thickBot="1" x14ac:dyDescent="0.25">
      <c r="A101" s="69" t="s">
        <v>8</v>
      </c>
      <c r="B101" s="372"/>
      <c r="C101" s="373"/>
      <c r="D101" s="373"/>
      <c r="E101" s="373"/>
      <c r="F101" s="374"/>
      <c r="G101" s="352"/>
      <c r="H101" s="353"/>
    </row>
    <row r="102" spans="1:8" x14ac:dyDescent="0.2">
      <c r="A102" s="363" t="s">
        <v>9</v>
      </c>
      <c r="B102" s="364"/>
      <c r="C102" s="365"/>
      <c r="D102" s="199" t="s">
        <v>10</v>
      </c>
      <c r="E102" s="199" t="s">
        <v>11</v>
      </c>
      <c r="F102" s="199" t="s">
        <v>12</v>
      </c>
      <c r="G102" s="198" t="s">
        <v>13</v>
      </c>
      <c r="H102" s="18"/>
    </row>
    <row r="103" spans="1:8" x14ac:dyDescent="0.2">
      <c r="A103" s="357" t="s">
        <v>115</v>
      </c>
      <c r="B103" s="358"/>
      <c r="C103" s="359"/>
      <c r="D103" s="19" t="s">
        <v>116</v>
      </c>
      <c r="E103" s="20"/>
      <c r="F103" s="20"/>
      <c r="G103" s="21">
        <f>0.1*H130</f>
        <v>435.6</v>
      </c>
      <c r="H103" s="22"/>
    </row>
    <row r="104" spans="1:8" x14ac:dyDescent="0.2">
      <c r="A104" s="357"/>
      <c r="B104" s="358"/>
      <c r="C104" s="359"/>
      <c r="D104" s="23"/>
      <c r="E104" s="24"/>
      <c r="F104" s="25"/>
      <c r="G104" s="26"/>
      <c r="H104" s="22"/>
    </row>
    <row r="105" spans="1:8" x14ac:dyDescent="0.2">
      <c r="A105" s="27"/>
      <c r="B105" s="28"/>
      <c r="C105" s="29"/>
      <c r="D105" s="30"/>
      <c r="E105" s="24"/>
      <c r="F105" s="25"/>
      <c r="G105" s="26"/>
      <c r="H105" s="22"/>
    </row>
    <row r="106" spans="1:8" x14ac:dyDescent="0.2">
      <c r="A106" s="357"/>
      <c r="B106" s="358"/>
      <c r="C106" s="359"/>
      <c r="D106" s="31"/>
      <c r="E106" s="32"/>
      <c r="F106" s="25"/>
      <c r="G106" s="26"/>
      <c r="H106" s="22"/>
    </row>
    <row r="107" spans="1:8" ht="13.5" thickBot="1" x14ac:dyDescent="0.25">
      <c r="A107" s="360"/>
      <c r="B107" s="361"/>
      <c r="C107" s="362"/>
      <c r="D107" s="33"/>
      <c r="E107" s="34"/>
      <c r="F107" s="35"/>
      <c r="G107" s="36"/>
      <c r="H107" s="37"/>
    </row>
    <row r="108" spans="1:8" ht="13.5" thickBot="1" x14ac:dyDescent="0.25">
      <c r="A108" s="10"/>
      <c r="B108" s="10"/>
      <c r="C108" s="10"/>
      <c r="D108" s="10"/>
      <c r="E108" s="10"/>
      <c r="F108" s="10"/>
      <c r="G108" s="38" t="s">
        <v>14</v>
      </c>
      <c r="H108" s="107">
        <f>ROUNDUP(SUM(G103:G105),0)</f>
        <v>436</v>
      </c>
    </row>
    <row r="109" spans="1:8" ht="13.5" thickBot="1" x14ac:dyDescent="0.25">
      <c r="A109" s="11" t="s">
        <v>15</v>
      </c>
      <c r="B109" s="11"/>
      <c r="C109" s="11"/>
      <c r="D109" s="10"/>
      <c r="E109" s="10"/>
      <c r="F109" s="10"/>
      <c r="G109" s="10"/>
      <c r="H109" s="10"/>
    </row>
    <row r="110" spans="1:8" x14ac:dyDescent="0.2">
      <c r="A110" s="363" t="s">
        <v>9</v>
      </c>
      <c r="B110" s="364"/>
      <c r="C110" s="365"/>
      <c r="D110" s="199" t="s">
        <v>16</v>
      </c>
      <c r="E110" s="199" t="s">
        <v>17</v>
      </c>
      <c r="F110" s="199" t="s">
        <v>18</v>
      </c>
      <c r="G110" s="198" t="s">
        <v>13</v>
      </c>
      <c r="H110" s="18"/>
    </row>
    <row r="111" spans="1:8" x14ac:dyDescent="0.2">
      <c r="A111" s="332" t="s">
        <v>125</v>
      </c>
      <c r="B111" s="333"/>
      <c r="C111" s="334"/>
      <c r="D111" s="23" t="s">
        <v>87</v>
      </c>
      <c r="E111" s="24">
        <v>3190</v>
      </c>
      <c r="F111" s="40">
        <v>0.02</v>
      </c>
      <c r="G111" s="41">
        <f t="shared" ref="G111:G112" si="2">E111*F111</f>
        <v>63.800000000000004</v>
      </c>
      <c r="H111" s="22"/>
    </row>
    <row r="112" spans="1:8" x14ac:dyDescent="0.2">
      <c r="A112" s="332" t="s">
        <v>127</v>
      </c>
      <c r="B112" s="333"/>
      <c r="C112" s="334"/>
      <c r="D112" s="23" t="s">
        <v>87</v>
      </c>
      <c r="E112" s="24">
        <v>2500</v>
      </c>
      <c r="F112" s="40">
        <v>1.05</v>
      </c>
      <c r="G112" s="41">
        <f t="shared" si="2"/>
        <v>2625</v>
      </c>
      <c r="H112" s="22"/>
    </row>
    <row r="113" spans="1:8" x14ac:dyDescent="0.2">
      <c r="A113" s="332"/>
      <c r="B113" s="333"/>
      <c r="C113" s="334"/>
      <c r="D113" s="23"/>
      <c r="E113" s="24"/>
      <c r="F113" s="40"/>
      <c r="G113" s="41"/>
      <c r="H113" s="22"/>
    </row>
    <row r="114" spans="1:8" ht="13.5" thickBot="1" x14ac:dyDescent="0.25">
      <c r="A114" s="335"/>
      <c r="B114" s="336"/>
      <c r="C114" s="337"/>
      <c r="D114" s="43"/>
      <c r="E114" s="44"/>
      <c r="F114" s="35"/>
      <c r="G114" s="36"/>
      <c r="H114" s="37"/>
    </row>
    <row r="115" spans="1:8" ht="13.5" thickBot="1" x14ac:dyDescent="0.25">
      <c r="A115" s="10"/>
      <c r="B115" s="10"/>
      <c r="C115" s="10"/>
      <c r="D115" s="10"/>
      <c r="E115" s="10"/>
      <c r="F115" s="10"/>
      <c r="G115" s="38" t="s">
        <v>14</v>
      </c>
      <c r="H115" s="45">
        <f>SUM(G111:G114)</f>
        <v>2688.8</v>
      </c>
    </row>
    <row r="116" spans="1:8" ht="13.5" thickBot="1" x14ac:dyDescent="0.25">
      <c r="A116" s="46" t="s">
        <v>19</v>
      </c>
      <c r="B116" s="46"/>
      <c r="C116" s="47"/>
      <c r="D116" s="10"/>
      <c r="E116" s="10"/>
      <c r="F116" s="10"/>
      <c r="G116" s="10"/>
      <c r="H116" s="10"/>
    </row>
    <row r="117" spans="1:8" x14ac:dyDescent="0.2">
      <c r="A117" s="110" t="s">
        <v>20</v>
      </c>
      <c r="B117" s="111"/>
      <c r="C117" s="112" t="s">
        <v>21</v>
      </c>
      <c r="D117" s="199" t="s">
        <v>22</v>
      </c>
      <c r="E117" s="199" t="s">
        <v>23</v>
      </c>
      <c r="F117" s="199" t="s">
        <v>24</v>
      </c>
      <c r="G117" s="51" t="s">
        <v>13</v>
      </c>
      <c r="H117" s="52"/>
    </row>
    <row r="118" spans="1:8" x14ac:dyDescent="0.2">
      <c r="A118" s="332"/>
      <c r="B118" s="338"/>
      <c r="C118" s="53"/>
      <c r="D118" s="54"/>
      <c r="E118" s="54"/>
      <c r="F118" s="55"/>
      <c r="G118" s="114"/>
      <c r="H118" s="22"/>
    </row>
    <row r="119" spans="1:8" x14ac:dyDescent="0.2">
      <c r="A119" s="332"/>
      <c r="B119" s="338"/>
      <c r="C119" s="56"/>
      <c r="D119" s="54"/>
      <c r="E119" s="54"/>
      <c r="F119" s="55"/>
      <c r="G119" s="114"/>
      <c r="H119" s="22"/>
    </row>
    <row r="120" spans="1:8" x14ac:dyDescent="0.2">
      <c r="A120" s="332"/>
      <c r="B120" s="338"/>
      <c r="C120" s="50"/>
      <c r="D120" s="23"/>
      <c r="E120" s="57"/>
      <c r="F120" s="25"/>
      <c r="G120" s="114"/>
      <c r="H120" s="22"/>
    </row>
    <row r="121" spans="1:8" ht="13.5" thickBot="1" x14ac:dyDescent="0.25">
      <c r="A121" s="375"/>
      <c r="B121" s="376"/>
      <c r="C121" s="43"/>
      <c r="D121" s="44"/>
      <c r="E121" s="35"/>
      <c r="F121" s="36"/>
      <c r="G121" s="116"/>
      <c r="H121" s="22"/>
    </row>
    <row r="122" spans="1:8" ht="13.5" thickBot="1" x14ac:dyDescent="0.25">
      <c r="A122" s="10"/>
      <c r="B122" s="10"/>
      <c r="C122" s="10"/>
      <c r="D122" s="10"/>
      <c r="E122" s="10"/>
      <c r="F122" s="10"/>
      <c r="G122" s="38" t="s">
        <v>14</v>
      </c>
      <c r="H122" s="58">
        <f>G118</f>
        <v>0</v>
      </c>
    </row>
    <row r="123" spans="1:8" ht="13.5" thickBot="1" x14ac:dyDescent="0.25">
      <c r="A123" s="46" t="s">
        <v>25</v>
      </c>
      <c r="B123" s="46"/>
      <c r="C123" s="10"/>
      <c r="D123" s="10"/>
      <c r="E123" s="10"/>
      <c r="F123" s="10"/>
      <c r="G123" s="10"/>
      <c r="H123" s="10"/>
    </row>
    <row r="124" spans="1:8" x14ac:dyDescent="0.2">
      <c r="A124" s="110" t="s">
        <v>26</v>
      </c>
      <c r="B124" s="111"/>
      <c r="C124" s="59" t="s">
        <v>27</v>
      </c>
      <c r="D124" s="199" t="s">
        <v>28</v>
      </c>
      <c r="E124" s="199" t="s">
        <v>29</v>
      </c>
      <c r="F124" s="199" t="s">
        <v>12</v>
      </c>
      <c r="G124" s="51" t="s">
        <v>13</v>
      </c>
      <c r="H124" s="18"/>
    </row>
    <row r="125" spans="1:8" x14ac:dyDescent="0.2">
      <c r="A125" s="357" t="s">
        <v>129</v>
      </c>
      <c r="B125" s="377"/>
      <c r="C125" s="60">
        <f>100%*E125/D125</f>
        <v>217582.41758241758</v>
      </c>
      <c r="D125" s="61">
        <v>1.82</v>
      </c>
      <c r="E125" s="24">
        <v>396000</v>
      </c>
      <c r="F125" s="25">
        <v>1.0999999999999999E-2</v>
      </c>
      <c r="G125" s="62">
        <f>E125*F125</f>
        <v>4356</v>
      </c>
      <c r="H125" s="12"/>
    </row>
    <row r="126" spans="1:8" x14ac:dyDescent="0.2">
      <c r="A126" s="332"/>
      <c r="B126" s="338"/>
      <c r="C126" s="63"/>
      <c r="D126" s="61"/>
      <c r="E126" s="24"/>
      <c r="F126" s="25"/>
      <c r="G126" s="114"/>
      <c r="H126" s="22"/>
    </row>
    <row r="127" spans="1:8" x14ac:dyDescent="0.2">
      <c r="A127" s="332"/>
      <c r="B127" s="338"/>
      <c r="C127" s="64"/>
      <c r="D127" s="23"/>
      <c r="E127" s="24"/>
      <c r="F127" s="25"/>
      <c r="G127" s="114"/>
      <c r="H127" s="22"/>
    </row>
    <row r="128" spans="1:8" x14ac:dyDescent="0.2">
      <c r="A128" s="332"/>
      <c r="B128" s="338"/>
      <c r="C128" s="64"/>
      <c r="D128" s="23"/>
      <c r="E128" s="24"/>
      <c r="F128" s="25"/>
      <c r="G128" s="114"/>
      <c r="H128" s="22"/>
    </row>
    <row r="129" spans="1:8" ht="13.5" thickBot="1" x14ac:dyDescent="0.25">
      <c r="A129" s="375"/>
      <c r="B129" s="376"/>
      <c r="C129" s="65"/>
      <c r="D129" s="42"/>
      <c r="E129" s="42"/>
      <c r="F129" s="42"/>
      <c r="G129" s="115"/>
      <c r="H129" s="37"/>
    </row>
    <row r="130" spans="1:8" ht="13.5" thickBot="1" x14ac:dyDescent="0.25">
      <c r="A130" s="10"/>
      <c r="B130" s="10"/>
      <c r="C130" s="10"/>
      <c r="D130" s="10"/>
      <c r="E130" s="10"/>
      <c r="F130" s="10"/>
      <c r="G130" s="38" t="s">
        <v>14</v>
      </c>
      <c r="H130" s="39">
        <f>ROUNDUP(SUM(G125:G125),0)</f>
        <v>4356</v>
      </c>
    </row>
    <row r="131" spans="1:8" ht="13.5" thickBot="1" x14ac:dyDescent="0.25">
      <c r="A131" s="10"/>
      <c r="B131" s="10"/>
      <c r="C131" s="10"/>
      <c r="D131" s="10"/>
      <c r="E131" s="10"/>
      <c r="F131" s="10"/>
      <c r="G131" s="66"/>
      <c r="H131" s="10"/>
    </row>
    <row r="132" spans="1:8" ht="13.5" thickBot="1" x14ac:dyDescent="0.25">
      <c r="A132" s="10"/>
      <c r="B132" s="10"/>
      <c r="C132" s="10"/>
      <c r="D132" s="10"/>
      <c r="E132" s="8" t="s">
        <v>30</v>
      </c>
      <c r="F132" s="8"/>
      <c r="G132" s="8"/>
      <c r="H132" s="108">
        <f>ROUND(SUM(H108+H115+H122+H130),0)</f>
        <v>7481</v>
      </c>
    </row>
    <row r="135" spans="1:8" ht="13.5" thickBot="1" x14ac:dyDescent="0.25"/>
    <row r="136" spans="1:8" x14ac:dyDescent="0.2">
      <c r="A136" s="4"/>
      <c r="B136" s="5"/>
      <c r="C136" s="6"/>
      <c r="D136" s="339" t="s">
        <v>6</v>
      </c>
      <c r="E136" s="340"/>
      <c r="F136" s="340"/>
      <c r="G136" s="340"/>
      <c r="H136" s="341"/>
    </row>
    <row r="137" spans="1:8" x14ac:dyDescent="0.2">
      <c r="A137" s="7"/>
      <c r="B137" s="8"/>
      <c r="C137" s="9"/>
      <c r="D137" s="342"/>
      <c r="E137" s="343"/>
      <c r="F137" s="343"/>
      <c r="G137" s="343"/>
      <c r="H137" s="344"/>
    </row>
    <row r="138" spans="1:8" ht="40.5" customHeight="1" thickBot="1" x14ac:dyDescent="0.25">
      <c r="A138" s="13"/>
      <c r="B138" s="14"/>
      <c r="C138" s="15"/>
      <c r="D138" s="345"/>
      <c r="E138" s="346"/>
      <c r="F138" s="346"/>
      <c r="G138" s="346"/>
      <c r="H138" s="347"/>
    </row>
    <row r="139" spans="1:8" x14ac:dyDescent="0.2">
      <c r="A139" s="348" t="s">
        <v>204</v>
      </c>
      <c r="B139" s="366" t="s">
        <v>203</v>
      </c>
      <c r="C139" s="367"/>
      <c r="D139" s="367"/>
      <c r="E139" s="367"/>
      <c r="F139" s="368"/>
      <c r="G139" s="348" t="s">
        <v>134</v>
      </c>
      <c r="H139" s="349"/>
    </row>
    <row r="140" spans="1:8" x14ac:dyDescent="0.2">
      <c r="A140" s="350"/>
      <c r="B140" s="369"/>
      <c r="C140" s="370"/>
      <c r="D140" s="370"/>
      <c r="E140" s="370"/>
      <c r="F140" s="371"/>
      <c r="G140" s="350"/>
      <c r="H140" s="351"/>
    </row>
    <row r="141" spans="1:8" ht="13.5" thickBot="1" x14ac:dyDescent="0.25">
      <c r="A141" s="352"/>
      <c r="B141" s="369"/>
      <c r="C141" s="370"/>
      <c r="D141" s="370"/>
      <c r="E141" s="370"/>
      <c r="F141" s="371"/>
      <c r="G141" s="350"/>
      <c r="H141" s="351"/>
    </row>
    <row r="142" spans="1:8" x14ac:dyDescent="0.2">
      <c r="A142" s="68"/>
      <c r="B142" s="369"/>
      <c r="C142" s="370"/>
      <c r="D142" s="370"/>
      <c r="E142" s="370"/>
      <c r="F142" s="371"/>
      <c r="G142" s="350"/>
      <c r="H142" s="351"/>
    </row>
    <row r="143" spans="1:8" ht="13.5" thickBot="1" x14ac:dyDescent="0.25">
      <c r="A143" s="69" t="s">
        <v>8</v>
      </c>
      <c r="B143" s="372"/>
      <c r="C143" s="373"/>
      <c r="D143" s="373"/>
      <c r="E143" s="373"/>
      <c r="F143" s="374"/>
      <c r="G143" s="352"/>
      <c r="H143" s="353"/>
    </row>
    <row r="144" spans="1:8" x14ac:dyDescent="0.2">
      <c r="A144" s="363" t="s">
        <v>9</v>
      </c>
      <c r="B144" s="364"/>
      <c r="C144" s="365"/>
      <c r="D144" s="199" t="s">
        <v>10</v>
      </c>
      <c r="E144" s="199" t="s">
        <v>11</v>
      </c>
      <c r="F144" s="199" t="s">
        <v>12</v>
      </c>
      <c r="G144" s="198" t="s">
        <v>13</v>
      </c>
      <c r="H144" s="18"/>
    </row>
    <row r="145" spans="1:8" x14ac:dyDescent="0.2">
      <c r="A145" s="357" t="s">
        <v>184</v>
      </c>
      <c r="B145" s="358"/>
      <c r="C145" s="359"/>
      <c r="D145" s="19"/>
      <c r="E145" s="189">
        <f>H176</f>
        <v>166092</v>
      </c>
      <c r="F145" s="20">
        <v>20</v>
      </c>
      <c r="G145" s="21">
        <f>E145/F145</f>
        <v>8304.6</v>
      </c>
      <c r="H145" s="22"/>
    </row>
    <row r="146" spans="1:8" x14ac:dyDescent="0.2">
      <c r="A146" s="27"/>
      <c r="B146" s="28"/>
      <c r="C146" s="29"/>
      <c r="D146" s="30"/>
      <c r="E146" s="24"/>
      <c r="F146" s="25"/>
      <c r="G146" s="26"/>
      <c r="H146" s="22"/>
    </row>
    <row r="147" spans="1:8" x14ac:dyDescent="0.2">
      <c r="A147" s="357"/>
      <c r="B147" s="358"/>
      <c r="C147" s="359"/>
      <c r="D147" s="31"/>
      <c r="E147" s="32"/>
      <c r="F147" s="25"/>
      <c r="G147" s="26"/>
      <c r="H147" s="22"/>
    </row>
    <row r="148" spans="1:8" ht="13.5" thickBot="1" x14ac:dyDescent="0.25">
      <c r="A148" s="360"/>
      <c r="B148" s="361"/>
      <c r="C148" s="362"/>
      <c r="D148" s="33"/>
      <c r="E148" s="34"/>
      <c r="F148" s="35"/>
      <c r="G148" s="36"/>
      <c r="H148" s="37"/>
    </row>
    <row r="149" spans="1:8" ht="13.5" thickBot="1" x14ac:dyDescent="0.25">
      <c r="A149" s="10"/>
      <c r="B149" s="10"/>
      <c r="C149" s="10"/>
      <c r="D149" s="10"/>
      <c r="E149" s="10"/>
      <c r="F149" s="10"/>
      <c r="G149" s="38" t="s">
        <v>14</v>
      </c>
      <c r="H149" s="107">
        <f>ROUNDUP(SUM(G145:G147),0)</f>
        <v>8305</v>
      </c>
    </row>
    <row r="150" spans="1:8" ht="13.5" thickBot="1" x14ac:dyDescent="0.25">
      <c r="A150" s="11" t="s">
        <v>15</v>
      </c>
      <c r="B150" s="11"/>
      <c r="C150" s="11"/>
      <c r="D150" s="10"/>
      <c r="E150" s="10"/>
      <c r="F150" s="10"/>
      <c r="G150" s="10"/>
      <c r="H150" s="10"/>
    </row>
    <row r="151" spans="1:8" x14ac:dyDescent="0.2">
      <c r="A151" s="363" t="s">
        <v>9</v>
      </c>
      <c r="B151" s="364"/>
      <c r="C151" s="365"/>
      <c r="D151" s="199" t="s">
        <v>16</v>
      </c>
      <c r="E151" s="199" t="s">
        <v>17</v>
      </c>
      <c r="F151" s="199" t="s">
        <v>18</v>
      </c>
      <c r="G151" s="198" t="s">
        <v>13</v>
      </c>
      <c r="H151" s="18"/>
    </row>
    <row r="152" spans="1:8" x14ac:dyDescent="0.2">
      <c r="A152" s="379" t="s">
        <v>188</v>
      </c>
      <c r="B152" s="386"/>
      <c r="C152" s="380"/>
      <c r="D152" s="23" t="s">
        <v>34</v>
      </c>
      <c r="E152" s="24">
        <v>68000</v>
      </c>
      <c r="F152" s="40">
        <v>0.3569</v>
      </c>
      <c r="G152" s="41">
        <f>E152*F152</f>
        <v>24269.200000000001</v>
      </c>
      <c r="H152" s="22"/>
    </row>
    <row r="153" spans="1:8" x14ac:dyDescent="0.2">
      <c r="A153" s="332" t="s">
        <v>189</v>
      </c>
      <c r="B153" s="387"/>
      <c r="C153" s="338"/>
      <c r="D153" s="23" t="s">
        <v>192</v>
      </c>
      <c r="E153" s="24">
        <v>38000</v>
      </c>
      <c r="F153" s="40">
        <v>4.5423</v>
      </c>
      <c r="G153" s="41">
        <f t="shared" ref="G153:G155" si="3">E153*F153</f>
        <v>172607.4</v>
      </c>
      <c r="H153" s="22"/>
    </row>
    <row r="154" spans="1:8" x14ac:dyDescent="0.2">
      <c r="A154" s="332" t="s">
        <v>190</v>
      </c>
      <c r="B154" s="333"/>
      <c r="C154" s="334"/>
      <c r="D154" s="23" t="s">
        <v>34</v>
      </c>
      <c r="E154" s="24">
        <v>60000</v>
      </c>
      <c r="F154" s="40">
        <v>0.41199999999999998</v>
      </c>
      <c r="G154" s="41">
        <f t="shared" si="3"/>
        <v>24720</v>
      </c>
      <c r="H154" s="22"/>
    </row>
    <row r="155" spans="1:8" x14ac:dyDescent="0.2">
      <c r="A155" s="332" t="s">
        <v>191</v>
      </c>
      <c r="B155" s="387"/>
      <c r="C155" s="338"/>
      <c r="D155" s="23" t="s">
        <v>34</v>
      </c>
      <c r="E155" s="24">
        <v>70000</v>
      </c>
      <c r="F155" s="40">
        <v>0.54510000000000003</v>
      </c>
      <c r="G155" s="41">
        <f t="shared" si="3"/>
        <v>38157</v>
      </c>
      <c r="H155" s="22"/>
    </row>
    <row r="156" spans="1:8" x14ac:dyDescent="0.2">
      <c r="A156" s="196"/>
      <c r="B156" s="200"/>
      <c r="C156" s="197"/>
      <c r="D156" s="23"/>
      <c r="E156" s="24"/>
      <c r="F156" s="40"/>
      <c r="G156" s="41"/>
      <c r="H156" s="22"/>
    </row>
    <row r="157" spans="1:8" x14ac:dyDescent="0.2">
      <c r="A157" s="332"/>
      <c r="B157" s="387"/>
      <c r="C157" s="338"/>
      <c r="D157" s="23"/>
      <c r="E157" s="24"/>
      <c r="F157" s="40"/>
      <c r="G157" s="41"/>
      <c r="H157" s="22"/>
    </row>
    <row r="158" spans="1:8" x14ac:dyDescent="0.2">
      <c r="A158" s="332"/>
      <c r="B158" s="387"/>
      <c r="C158" s="338"/>
      <c r="D158" s="23"/>
      <c r="E158" s="24"/>
      <c r="F158" s="40"/>
      <c r="G158" s="41"/>
      <c r="H158" s="22"/>
    </row>
    <row r="159" spans="1:8" ht="13.5" thickBot="1" x14ac:dyDescent="0.25">
      <c r="A159" s="375"/>
      <c r="B159" s="378"/>
      <c r="C159" s="376"/>
      <c r="D159" s="43"/>
      <c r="E159" s="44"/>
      <c r="F159" s="35"/>
      <c r="G159" s="36"/>
      <c r="H159" s="37"/>
    </row>
    <row r="160" spans="1:8" ht="13.5" thickBot="1" x14ac:dyDescent="0.25">
      <c r="A160" s="10"/>
      <c r="B160" s="10"/>
      <c r="C160" s="10"/>
      <c r="D160" s="10"/>
      <c r="E160" s="10"/>
      <c r="F160" s="10"/>
      <c r="G160" s="38" t="s">
        <v>14</v>
      </c>
      <c r="H160" s="45">
        <f>SUM(G152:G159)</f>
        <v>259753.60000000001</v>
      </c>
    </row>
    <row r="161" spans="1:8" ht="13.5" thickBot="1" x14ac:dyDescent="0.25">
      <c r="A161" s="46" t="s">
        <v>19</v>
      </c>
      <c r="B161" s="46"/>
      <c r="C161" s="47"/>
      <c r="D161" s="10"/>
      <c r="E161" s="10"/>
      <c r="F161" s="10"/>
      <c r="G161" s="10"/>
      <c r="H161" s="10"/>
    </row>
    <row r="162" spans="1:8" x14ac:dyDescent="0.2">
      <c r="A162" s="110" t="s">
        <v>20</v>
      </c>
      <c r="B162" s="111"/>
      <c r="C162" s="112" t="s">
        <v>21</v>
      </c>
      <c r="D162" s="199" t="s">
        <v>22</v>
      </c>
      <c r="E162" s="199" t="s">
        <v>23</v>
      </c>
      <c r="F162" s="199" t="s">
        <v>24</v>
      </c>
      <c r="G162" s="51" t="s">
        <v>13</v>
      </c>
      <c r="H162" s="52"/>
    </row>
    <row r="163" spans="1:8" x14ac:dyDescent="0.2">
      <c r="A163" s="332" t="s">
        <v>128</v>
      </c>
      <c r="B163" s="338"/>
      <c r="C163" s="53">
        <v>0.1</v>
      </c>
      <c r="D163" s="54" t="s">
        <v>34</v>
      </c>
      <c r="E163" s="54">
        <v>11</v>
      </c>
      <c r="F163" s="55">
        <v>200</v>
      </c>
      <c r="G163" s="114">
        <f>C163*E163*F163</f>
        <v>220.00000000000003</v>
      </c>
      <c r="H163" s="22"/>
    </row>
    <row r="164" spans="1:8" x14ac:dyDescent="0.2">
      <c r="A164" s="332"/>
      <c r="B164" s="338"/>
      <c r="C164" s="56"/>
      <c r="D164" s="54"/>
      <c r="E164" s="54"/>
      <c r="F164" s="55"/>
      <c r="G164" s="114"/>
      <c r="H164" s="22"/>
    </row>
    <row r="165" spans="1:8" x14ac:dyDescent="0.2">
      <c r="A165" s="332"/>
      <c r="B165" s="338"/>
      <c r="C165" s="50"/>
      <c r="D165" s="23"/>
      <c r="E165" s="57"/>
      <c r="F165" s="25"/>
      <c r="G165" s="114"/>
      <c r="H165" s="22"/>
    </row>
    <row r="166" spans="1:8" ht="13.5" thickBot="1" x14ac:dyDescent="0.25">
      <c r="A166" s="375"/>
      <c r="B166" s="376"/>
      <c r="C166" s="43"/>
      <c r="D166" s="44"/>
      <c r="E166" s="35"/>
      <c r="F166" s="36"/>
      <c r="G166" s="116"/>
      <c r="H166" s="22"/>
    </row>
    <row r="167" spans="1:8" ht="13.5" thickBot="1" x14ac:dyDescent="0.25">
      <c r="A167" s="10"/>
      <c r="B167" s="10"/>
      <c r="C167" s="10"/>
      <c r="D167" s="10"/>
      <c r="E167" s="10"/>
      <c r="F167" s="10"/>
      <c r="G167" s="38" t="s">
        <v>14</v>
      </c>
      <c r="H167" s="58">
        <f>G163</f>
        <v>220.00000000000003</v>
      </c>
    </row>
    <row r="168" spans="1:8" ht="13.5" thickBot="1" x14ac:dyDescent="0.25">
      <c r="A168" s="46" t="s">
        <v>25</v>
      </c>
      <c r="B168" s="46"/>
      <c r="C168" s="10"/>
      <c r="D168" s="10"/>
      <c r="E168" s="10"/>
      <c r="F168" s="10"/>
      <c r="G168" s="10"/>
      <c r="H168" s="10"/>
    </row>
    <row r="169" spans="1:8" x14ac:dyDescent="0.2">
      <c r="A169" s="110" t="s">
        <v>26</v>
      </c>
      <c r="B169" s="111"/>
      <c r="C169" s="59" t="s">
        <v>27</v>
      </c>
      <c r="D169" s="199" t="s">
        <v>28</v>
      </c>
      <c r="E169" s="199" t="s">
        <v>29</v>
      </c>
      <c r="F169" s="199" t="s">
        <v>12</v>
      </c>
      <c r="G169" s="51" t="s">
        <v>13</v>
      </c>
      <c r="H169" s="18"/>
    </row>
    <row r="170" spans="1:8" x14ac:dyDescent="0.2">
      <c r="A170" s="48" t="s">
        <v>145</v>
      </c>
      <c r="B170" s="49"/>
      <c r="C170" s="60">
        <f>100%*E170/D170</f>
        <v>152098.22954822957</v>
      </c>
      <c r="D170" s="61">
        <v>1.82</v>
      </c>
      <c r="E170" s="24">
        <v>276818.77777777781</v>
      </c>
      <c r="F170" s="25">
        <v>0.6</v>
      </c>
      <c r="G170" s="62">
        <f>E170*F170</f>
        <v>166091.26666666669</v>
      </c>
      <c r="H170" s="12"/>
    </row>
    <row r="171" spans="1:8" x14ac:dyDescent="0.2">
      <c r="A171" s="357"/>
      <c r="B171" s="377"/>
      <c r="C171" s="60"/>
      <c r="D171" s="61"/>
      <c r="E171" s="24"/>
      <c r="F171" s="25"/>
      <c r="G171" s="62"/>
      <c r="H171" s="12"/>
    </row>
    <row r="172" spans="1:8" x14ac:dyDescent="0.2">
      <c r="A172" s="332"/>
      <c r="B172" s="338"/>
      <c r="C172" s="63"/>
      <c r="D172" s="61"/>
      <c r="E172" s="24"/>
      <c r="F172" s="25"/>
      <c r="G172" s="114"/>
      <c r="H172" s="22"/>
    </row>
    <row r="173" spans="1:8" x14ac:dyDescent="0.2">
      <c r="A173" s="332"/>
      <c r="B173" s="338"/>
      <c r="C173" s="64"/>
      <c r="D173" s="23"/>
      <c r="E173" s="24"/>
      <c r="F173" s="25"/>
      <c r="G173" s="114"/>
      <c r="H173" s="22"/>
    </row>
    <row r="174" spans="1:8" x14ac:dyDescent="0.2">
      <c r="A174" s="332"/>
      <c r="B174" s="338"/>
      <c r="C174" s="64"/>
      <c r="D174" s="23"/>
      <c r="E174" s="24"/>
      <c r="F174" s="25"/>
      <c r="G174" s="114"/>
      <c r="H174" s="22"/>
    </row>
    <row r="175" spans="1:8" ht="13.5" thickBot="1" x14ac:dyDescent="0.25">
      <c r="A175" s="375"/>
      <c r="B175" s="376"/>
      <c r="C175" s="65"/>
      <c r="D175" s="42"/>
      <c r="E175" s="42"/>
      <c r="F175" s="42"/>
      <c r="G175" s="115"/>
      <c r="H175" s="37"/>
    </row>
    <row r="176" spans="1:8" ht="13.5" thickBot="1" x14ac:dyDescent="0.25">
      <c r="A176" s="10"/>
      <c r="B176" s="10"/>
      <c r="C176" s="10"/>
      <c r="D176" s="10"/>
      <c r="E176" s="10"/>
      <c r="F176" s="10"/>
      <c r="G176" s="38" t="s">
        <v>14</v>
      </c>
      <c r="H176" s="39">
        <f>ROUNDUP(SUM(G170:G171),0)</f>
        <v>166092</v>
      </c>
    </row>
    <row r="177" spans="1:8" ht="13.5" thickBot="1" x14ac:dyDescent="0.25">
      <c r="A177" s="10"/>
      <c r="B177" s="10"/>
      <c r="C177" s="10"/>
      <c r="D177" s="10"/>
      <c r="E177" s="10"/>
      <c r="F177" s="10"/>
      <c r="G177" s="66"/>
      <c r="H177" s="10"/>
    </row>
    <row r="178" spans="1:8" ht="13.5" thickBot="1" x14ac:dyDescent="0.25">
      <c r="A178" s="10"/>
      <c r="B178" s="10"/>
      <c r="C178" s="10"/>
      <c r="D178" s="10"/>
      <c r="E178" s="8" t="s">
        <v>30</v>
      </c>
      <c r="F178" s="8"/>
      <c r="G178" s="8"/>
      <c r="H178" s="180">
        <f>ROUND(SUM(H149+H160+H167+H176),0)</f>
        <v>434371</v>
      </c>
    </row>
    <row r="182" spans="1:8" ht="13.5" thickBot="1" x14ac:dyDescent="0.25"/>
    <row r="183" spans="1:8" x14ac:dyDescent="0.2">
      <c r="A183" s="4"/>
      <c r="B183" s="5"/>
      <c r="C183" s="6"/>
      <c r="D183" s="339" t="s">
        <v>6</v>
      </c>
      <c r="E183" s="340"/>
      <c r="F183" s="340"/>
      <c r="G183" s="340"/>
      <c r="H183" s="341"/>
    </row>
    <row r="184" spans="1:8" x14ac:dyDescent="0.2">
      <c r="A184" s="7"/>
      <c r="B184" s="8"/>
      <c r="C184" s="9"/>
      <c r="D184" s="342"/>
      <c r="E184" s="343"/>
      <c r="F184" s="343"/>
      <c r="G184" s="343"/>
      <c r="H184" s="344"/>
    </row>
    <row r="185" spans="1:8" ht="41.25" customHeight="1" thickBot="1" x14ac:dyDescent="0.25">
      <c r="A185" s="13"/>
      <c r="B185" s="14"/>
      <c r="C185" s="15"/>
      <c r="D185" s="345"/>
      <c r="E185" s="346"/>
      <c r="F185" s="346"/>
      <c r="G185" s="346"/>
      <c r="H185" s="347"/>
    </row>
    <row r="186" spans="1:8" x14ac:dyDescent="0.2">
      <c r="A186" s="348" t="s">
        <v>205</v>
      </c>
      <c r="B186" s="366" t="s">
        <v>198</v>
      </c>
      <c r="C186" s="367"/>
      <c r="D186" s="367"/>
      <c r="E186" s="367"/>
      <c r="F186" s="368"/>
      <c r="G186" s="348" t="s">
        <v>155</v>
      </c>
      <c r="H186" s="349"/>
    </row>
    <row r="187" spans="1:8" x14ac:dyDescent="0.2">
      <c r="A187" s="350"/>
      <c r="B187" s="369"/>
      <c r="C187" s="370"/>
      <c r="D187" s="370"/>
      <c r="E187" s="370"/>
      <c r="F187" s="371"/>
      <c r="G187" s="350"/>
      <c r="H187" s="351"/>
    </row>
    <row r="188" spans="1:8" ht="13.5" thickBot="1" x14ac:dyDescent="0.25">
      <c r="A188" s="352"/>
      <c r="B188" s="369"/>
      <c r="C188" s="370"/>
      <c r="D188" s="370"/>
      <c r="E188" s="370"/>
      <c r="F188" s="371"/>
      <c r="G188" s="350"/>
      <c r="H188" s="351"/>
    </row>
    <row r="189" spans="1:8" x14ac:dyDescent="0.2">
      <c r="A189" s="68"/>
      <c r="B189" s="369"/>
      <c r="C189" s="370"/>
      <c r="D189" s="370"/>
      <c r="E189" s="370"/>
      <c r="F189" s="371"/>
      <c r="G189" s="350"/>
      <c r="H189" s="351"/>
    </row>
    <row r="190" spans="1:8" ht="13.5" thickBot="1" x14ac:dyDescent="0.25">
      <c r="A190" s="69" t="s">
        <v>8</v>
      </c>
      <c r="B190" s="372"/>
      <c r="C190" s="373"/>
      <c r="D190" s="373"/>
      <c r="E190" s="373"/>
      <c r="F190" s="374"/>
      <c r="G190" s="352"/>
      <c r="H190" s="353"/>
    </row>
    <row r="191" spans="1:8" x14ac:dyDescent="0.2">
      <c r="A191" s="363" t="s">
        <v>9</v>
      </c>
      <c r="B191" s="364"/>
      <c r="C191" s="365"/>
      <c r="D191" s="199" t="s">
        <v>10</v>
      </c>
      <c r="E191" s="199" t="s">
        <v>11</v>
      </c>
      <c r="F191" s="199" t="s">
        <v>12</v>
      </c>
      <c r="G191" s="198" t="s">
        <v>13</v>
      </c>
      <c r="H191" s="18"/>
    </row>
    <row r="192" spans="1:8" x14ac:dyDescent="0.2">
      <c r="A192" s="357" t="s">
        <v>115</v>
      </c>
      <c r="B192" s="358"/>
      <c r="C192" s="359"/>
      <c r="D192" s="19"/>
      <c r="E192" s="189">
        <f>H223</f>
        <v>27682</v>
      </c>
      <c r="F192" s="201">
        <v>0.1</v>
      </c>
      <c r="G192" s="21">
        <f>E192*F192</f>
        <v>2768.2000000000003</v>
      </c>
      <c r="H192" s="22"/>
    </row>
    <row r="193" spans="1:8" x14ac:dyDescent="0.2">
      <c r="A193" s="27"/>
      <c r="B193" s="28"/>
      <c r="C193" s="29"/>
      <c r="D193" s="30"/>
      <c r="E193" s="24"/>
      <c r="F193" s="25"/>
      <c r="G193" s="26"/>
      <c r="H193" s="22"/>
    </row>
    <row r="194" spans="1:8" x14ac:dyDescent="0.2">
      <c r="A194" s="357"/>
      <c r="B194" s="358"/>
      <c r="C194" s="359"/>
      <c r="D194" s="31"/>
      <c r="E194" s="32"/>
      <c r="F194" s="25"/>
      <c r="G194" s="26"/>
      <c r="H194" s="22"/>
    </row>
    <row r="195" spans="1:8" ht="13.5" thickBot="1" x14ac:dyDescent="0.25">
      <c r="A195" s="360"/>
      <c r="B195" s="361"/>
      <c r="C195" s="362"/>
      <c r="D195" s="33"/>
      <c r="E195" s="34"/>
      <c r="F195" s="35"/>
      <c r="G195" s="36"/>
      <c r="H195" s="37"/>
    </row>
    <row r="196" spans="1:8" ht="13.5" thickBot="1" x14ac:dyDescent="0.25">
      <c r="A196" s="10"/>
      <c r="B196" s="10"/>
      <c r="C196" s="10"/>
      <c r="D196" s="10"/>
      <c r="E196" s="10"/>
      <c r="F196" s="10"/>
      <c r="G196" s="38" t="s">
        <v>14</v>
      </c>
      <c r="H196" s="107">
        <f>ROUNDUP(SUM(G192:G194),0)</f>
        <v>2769</v>
      </c>
    </row>
    <row r="197" spans="1:8" ht="13.5" thickBot="1" x14ac:dyDescent="0.25">
      <c r="A197" s="11" t="s">
        <v>15</v>
      </c>
      <c r="B197" s="11"/>
      <c r="C197" s="11"/>
      <c r="D197" s="10"/>
      <c r="E197" s="10"/>
      <c r="F197" s="10"/>
      <c r="G197" s="10"/>
      <c r="H197" s="10"/>
    </row>
    <row r="198" spans="1:8" x14ac:dyDescent="0.2">
      <c r="A198" s="363" t="s">
        <v>9</v>
      </c>
      <c r="B198" s="364"/>
      <c r="C198" s="365"/>
      <c r="D198" s="199" t="s">
        <v>16</v>
      </c>
      <c r="E198" s="199" t="s">
        <v>17</v>
      </c>
      <c r="F198" s="199" t="s">
        <v>18</v>
      </c>
      <c r="G198" s="198" t="s">
        <v>13</v>
      </c>
      <c r="H198" s="18"/>
    </row>
    <row r="199" spans="1:8" x14ac:dyDescent="0.2">
      <c r="A199" s="388" t="s">
        <v>186</v>
      </c>
      <c r="B199" s="386"/>
      <c r="C199" s="380"/>
      <c r="D199" s="23" t="s">
        <v>34</v>
      </c>
      <c r="E199" s="24">
        <v>406265.52</v>
      </c>
      <c r="F199" s="40">
        <v>0.02</v>
      </c>
      <c r="G199" s="41">
        <f>E199*F199</f>
        <v>8125.3104000000003</v>
      </c>
      <c r="H199" s="22"/>
    </row>
    <row r="200" spans="1:8" x14ac:dyDescent="0.2">
      <c r="A200" s="332" t="s">
        <v>187</v>
      </c>
      <c r="B200" s="387"/>
      <c r="C200" s="338"/>
      <c r="D200" s="23" t="s">
        <v>87</v>
      </c>
      <c r="E200" s="24">
        <v>27500</v>
      </c>
      <c r="F200" s="40">
        <v>0.01</v>
      </c>
      <c r="G200" s="41">
        <f>E200*F200</f>
        <v>275</v>
      </c>
      <c r="H200" s="22"/>
    </row>
    <row r="201" spans="1:8" x14ac:dyDescent="0.2">
      <c r="A201" s="332"/>
      <c r="B201" s="333"/>
      <c r="C201" s="334"/>
      <c r="D201" s="23"/>
      <c r="E201" s="24"/>
      <c r="F201" s="40"/>
      <c r="G201" s="41"/>
      <c r="H201" s="22"/>
    </row>
    <row r="202" spans="1:8" x14ac:dyDescent="0.2">
      <c r="A202" s="332"/>
      <c r="B202" s="387"/>
      <c r="C202" s="338"/>
      <c r="D202" s="23"/>
      <c r="E202" s="24"/>
      <c r="F202" s="40"/>
      <c r="G202" s="41"/>
      <c r="H202" s="22"/>
    </row>
    <row r="203" spans="1:8" x14ac:dyDescent="0.2">
      <c r="A203" s="196"/>
      <c r="B203" s="200"/>
      <c r="C203" s="197"/>
      <c r="D203" s="23"/>
      <c r="E203" s="24"/>
      <c r="F203" s="40"/>
      <c r="G203" s="41"/>
      <c r="H203" s="22"/>
    </row>
    <row r="204" spans="1:8" x14ac:dyDescent="0.2">
      <c r="A204" s="332"/>
      <c r="B204" s="387"/>
      <c r="C204" s="338"/>
      <c r="D204" s="23"/>
      <c r="E204" s="24"/>
      <c r="F204" s="40"/>
      <c r="G204" s="41"/>
      <c r="H204" s="22"/>
    </row>
    <row r="205" spans="1:8" x14ac:dyDescent="0.2">
      <c r="A205" s="332"/>
      <c r="B205" s="387"/>
      <c r="C205" s="338"/>
      <c r="D205" s="23"/>
      <c r="E205" s="24"/>
      <c r="F205" s="40"/>
      <c r="G205" s="41"/>
      <c r="H205" s="22"/>
    </row>
    <row r="206" spans="1:8" ht="13.5" thickBot="1" x14ac:dyDescent="0.25">
      <c r="A206" s="375"/>
      <c r="B206" s="378"/>
      <c r="C206" s="376"/>
      <c r="D206" s="43"/>
      <c r="E206" s="44"/>
      <c r="F206" s="35"/>
      <c r="G206" s="36"/>
      <c r="H206" s="37"/>
    </row>
    <row r="207" spans="1:8" ht="13.5" thickBot="1" x14ac:dyDescent="0.25">
      <c r="A207" s="10"/>
      <c r="B207" s="10"/>
      <c r="C207" s="10"/>
      <c r="D207" s="10"/>
      <c r="E207" s="10"/>
      <c r="F207" s="10"/>
      <c r="G207" s="38" t="s">
        <v>14</v>
      </c>
      <c r="H207" s="45">
        <f>SUM(G199:G206)</f>
        <v>8400.3104000000003</v>
      </c>
    </row>
    <row r="208" spans="1:8" ht="13.5" thickBot="1" x14ac:dyDescent="0.25">
      <c r="A208" s="46" t="s">
        <v>19</v>
      </c>
      <c r="B208" s="46"/>
      <c r="C208" s="47"/>
      <c r="D208" s="10"/>
      <c r="E208" s="10"/>
      <c r="F208" s="10"/>
      <c r="G208" s="10"/>
      <c r="H208" s="10"/>
    </row>
    <row r="209" spans="1:11" x14ac:dyDescent="0.2">
      <c r="A209" s="110" t="s">
        <v>20</v>
      </c>
      <c r="B209" s="111"/>
      <c r="C209" s="112" t="s">
        <v>21</v>
      </c>
      <c r="D209" s="199" t="s">
        <v>22</v>
      </c>
      <c r="E209" s="199" t="s">
        <v>23</v>
      </c>
      <c r="F209" s="199" t="s">
        <v>24</v>
      </c>
      <c r="G209" s="51" t="s">
        <v>13</v>
      </c>
      <c r="H209" s="52"/>
    </row>
    <row r="210" spans="1:11" x14ac:dyDescent="0.2">
      <c r="A210" s="332" t="s">
        <v>128</v>
      </c>
      <c r="B210" s="338"/>
      <c r="C210" s="53">
        <v>0</v>
      </c>
      <c r="D210" s="54" t="s">
        <v>34</v>
      </c>
      <c r="E210" s="54">
        <v>11</v>
      </c>
      <c r="F210" s="55">
        <v>1400</v>
      </c>
      <c r="G210" s="114">
        <f>C210*E210*F210</f>
        <v>0</v>
      </c>
      <c r="H210" s="22"/>
      <c r="K210">
        <f>0.025*1*1</f>
        <v>2.5000000000000001E-2</v>
      </c>
    </row>
    <row r="211" spans="1:11" x14ac:dyDescent="0.2">
      <c r="A211" s="332"/>
      <c r="B211" s="338"/>
      <c r="C211" s="56"/>
      <c r="D211" s="54"/>
      <c r="E211" s="54"/>
      <c r="F211" s="55"/>
      <c r="G211" s="114"/>
      <c r="H211" s="22"/>
    </row>
    <row r="212" spans="1:11" x14ac:dyDescent="0.2">
      <c r="A212" s="332"/>
      <c r="B212" s="338"/>
      <c r="C212" s="50"/>
      <c r="D212" s="23"/>
      <c r="E212" s="57"/>
      <c r="F212" s="25"/>
      <c r="G212" s="114"/>
      <c r="H212" s="22"/>
    </row>
    <row r="213" spans="1:11" ht="13.5" thickBot="1" x14ac:dyDescent="0.25">
      <c r="A213" s="375"/>
      <c r="B213" s="376"/>
      <c r="C213" s="43"/>
      <c r="D213" s="44"/>
      <c r="E213" s="35"/>
      <c r="F213" s="36"/>
      <c r="G213" s="116"/>
      <c r="H213" s="22"/>
    </row>
    <row r="214" spans="1:11" ht="13.5" thickBot="1" x14ac:dyDescent="0.25">
      <c r="A214" s="10"/>
      <c r="B214" s="10"/>
      <c r="C214" s="10"/>
      <c r="D214" s="10"/>
      <c r="E214" s="10"/>
      <c r="F214" s="10"/>
      <c r="G214" s="38" t="s">
        <v>14</v>
      </c>
      <c r="H214" s="58">
        <f>G210</f>
        <v>0</v>
      </c>
    </row>
    <row r="215" spans="1:11" ht="13.5" thickBot="1" x14ac:dyDescent="0.25">
      <c r="A215" s="46" t="s">
        <v>25</v>
      </c>
      <c r="B215" s="46"/>
      <c r="C215" s="10"/>
      <c r="D215" s="10"/>
      <c r="E215" s="10"/>
      <c r="F215" s="10"/>
      <c r="G215" s="10"/>
      <c r="H215" s="10"/>
    </row>
    <row r="216" spans="1:11" x14ac:dyDescent="0.2">
      <c r="A216" s="110" t="s">
        <v>26</v>
      </c>
      <c r="B216" s="111"/>
      <c r="C216" s="59" t="s">
        <v>27</v>
      </c>
      <c r="D216" s="199" t="s">
        <v>28</v>
      </c>
      <c r="E216" s="199" t="s">
        <v>29</v>
      </c>
      <c r="F216" s="199" t="s">
        <v>12</v>
      </c>
      <c r="G216" s="51" t="s">
        <v>13</v>
      </c>
      <c r="H216" s="18"/>
    </row>
    <row r="217" spans="1:11" x14ac:dyDescent="0.2">
      <c r="A217" s="48" t="s">
        <v>185</v>
      </c>
      <c r="B217" s="49"/>
      <c r="C217" s="60">
        <f>100%*E217/D217</f>
        <v>152098.22954822957</v>
      </c>
      <c r="D217" s="61">
        <v>1.82</v>
      </c>
      <c r="E217" s="24">
        <v>276818.77777777781</v>
      </c>
      <c r="F217" s="25">
        <v>0.1</v>
      </c>
      <c r="G217" s="62">
        <f>E217*F217</f>
        <v>27681.877777777783</v>
      </c>
      <c r="H217" s="12"/>
    </row>
    <row r="218" spans="1:11" x14ac:dyDescent="0.2">
      <c r="A218" s="357"/>
      <c r="B218" s="377"/>
      <c r="C218" s="60"/>
      <c r="D218" s="61"/>
      <c r="E218" s="24"/>
      <c r="F218" s="25"/>
      <c r="G218" s="62"/>
      <c r="H218" s="12"/>
    </row>
    <row r="219" spans="1:11" x14ac:dyDescent="0.2">
      <c r="A219" s="332"/>
      <c r="B219" s="338"/>
      <c r="C219" s="63"/>
      <c r="D219" s="61"/>
      <c r="E219" s="24"/>
      <c r="F219" s="25"/>
      <c r="G219" s="114"/>
      <c r="H219" s="22"/>
    </row>
    <row r="220" spans="1:11" x14ac:dyDescent="0.2">
      <c r="A220" s="332"/>
      <c r="B220" s="338"/>
      <c r="C220" s="64"/>
      <c r="D220" s="23"/>
      <c r="E220" s="24"/>
      <c r="F220" s="25"/>
      <c r="G220" s="114"/>
      <c r="H220" s="22"/>
    </row>
    <row r="221" spans="1:11" x14ac:dyDescent="0.2">
      <c r="A221" s="332"/>
      <c r="B221" s="338"/>
      <c r="C221" s="64"/>
      <c r="D221" s="23"/>
      <c r="E221" s="24"/>
      <c r="F221" s="25"/>
      <c r="G221" s="114"/>
      <c r="H221" s="22"/>
    </row>
    <row r="222" spans="1:11" ht="13.5" thickBot="1" x14ac:dyDescent="0.25">
      <c r="A222" s="375"/>
      <c r="B222" s="376"/>
      <c r="C222" s="65"/>
      <c r="D222" s="42"/>
      <c r="E222" s="42"/>
      <c r="F222" s="42"/>
      <c r="G222" s="115"/>
      <c r="H222" s="37"/>
    </row>
    <row r="223" spans="1:11" ht="13.5" thickBot="1" x14ac:dyDescent="0.25">
      <c r="A223" s="10"/>
      <c r="B223" s="10"/>
      <c r="C223" s="10"/>
      <c r="D223" s="10"/>
      <c r="E223" s="10"/>
      <c r="F223" s="10"/>
      <c r="G223" s="38" t="s">
        <v>14</v>
      </c>
      <c r="H223" s="39">
        <f>ROUNDUP(SUM(G217:G218),0)</f>
        <v>27682</v>
      </c>
    </row>
    <row r="224" spans="1:11" ht="13.5" thickBot="1" x14ac:dyDescent="0.25">
      <c r="A224" s="10"/>
      <c r="B224" s="10"/>
      <c r="C224" s="10"/>
      <c r="D224" s="10"/>
      <c r="E224" s="10"/>
      <c r="F224" s="10"/>
      <c r="G224" s="66"/>
      <c r="H224" s="10"/>
    </row>
    <row r="225" spans="1:8" ht="13.5" thickBot="1" x14ac:dyDescent="0.25">
      <c r="A225" s="10"/>
      <c r="B225" s="10"/>
      <c r="C225" s="10"/>
      <c r="D225" s="10"/>
      <c r="E225" s="8" t="s">
        <v>30</v>
      </c>
      <c r="F225" s="8"/>
      <c r="G225" s="8"/>
      <c r="H225" s="180">
        <f>ROUND(SUM(H196+H207+H214+H223),0)</f>
        <v>38851</v>
      </c>
    </row>
  </sheetData>
  <mergeCells count="123">
    <mergeCell ref="A222:B222"/>
    <mergeCell ref="A152:C152"/>
    <mergeCell ref="A213:B213"/>
    <mergeCell ref="A218:B218"/>
    <mergeCell ref="A219:B219"/>
    <mergeCell ref="A220:B220"/>
    <mergeCell ref="A221:B221"/>
    <mergeCell ref="A205:C205"/>
    <mergeCell ref="A206:C206"/>
    <mergeCell ref="A210:B210"/>
    <mergeCell ref="A211:B211"/>
    <mergeCell ref="A212:B212"/>
    <mergeCell ref="A199:C199"/>
    <mergeCell ref="A200:C200"/>
    <mergeCell ref="A201:C201"/>
    <mergeCell ref="A202:C202"/>
    <mergeCell ref="A204:C204"/>
    <mergeCell ref="A191:C191"/>
    <mergeCell ref="A192:C192"/>
    <mergeCell ref="A194:C194"/>
    <mergeCell ref="A195:C195"/>
    <mergeCell ref="A198:C198"/>
    <mergeCell ref="A175:B175"/>
    <mergeCell ref="A158:C158"/>
    <mergeCell ref="D183:H185"/>
    <mergeCell ref="A186:A188"/>
    <mergeCell ref="B186:F190"/>
    <mergeCell ref="G186:H190"/>
    <mergeCell ref="A166:B166"/>
    <mergeCell ref="A171:B171"/>
    <mergeCell ref="A172:B172"/>
    <mergeCell ref="A173:B173"/>
    <mergeCell ref="A174:B174"/>
    <mergeCell ref="A159:C159"/>
    <mergeCell ref="A163:B163"/>
    <mergeCell ref="A164:B164"/>
    <mergeCell ref="A165:B165"/>
    <mergeCell ref="A153:C153"/>
    <mergeCell ref="A154:C154"/>
    <mergeCell ref="A155:C155"/>
    <mergeCell ref="A157:C157"/>
    <mergeCell ref="A144:C144"/>
    <mergeCell ref="A145:C145"/>
    <mergeCell ref="A147:C147"/>
    <mergeCell ref="A148:C148"/>
    <mergeCell ref="A151:C151"/>
    <mergeCell ref="A127:B127"/>
    <mergeCell ref="A128:B128"/>
    <mergeCell ref="A129:B129"/>
    <mergeCell ref="D136:H138"/>
    <mergeCell ref="A139:A141"/>
    <mergeCell ref="B139:F143"/>
    <mergeCell ref="G139:H143"/>
    <mergeCell ref="A119:B119"/>
    <mergeCell ref="A120:B120"/>
    <mergeCell ref="A121:B121"/>
    <mergeCell ref="A125:B125"/>
    <mergeCell ref="A126:B126"/>
    <mergeCell ref="A111:C111"/>
    <mergeCell ref="A112:C112"/>
    <mergeCell ref="A113:C113"/>
    <mergeCell ref="A114:C114"/>
    <mergeCell ref="A118:B118"/>
    <mergeCell ref="A103:C103"/>
    <mergeCell ref="A104:C104"/>
    <mergeCell ref="A106:C106"/>
    <mergeCell ref="A107:C107"/>
    <mergeCell ref="A110:C110"/>
    <mergeCell ref="D94:H96"/>
    <mergeCell ref="A97:A99"/>
    <mergeCell ref="B97:F101"/>
    <mergeCell ref="G97:H101"/>
    <mergeCell ref="A102:C102"/>
    <mergeCell ref="A84:B84"/>
    <mergeCell ref="A85:B85"/>
    <mergeCell ref="A86:B86"/>
    <mergeCell ref="A74:B74"/>
    <mergeCell ref="A75:B75"/>
    <mergeCell ref="A76:B76"/>
    <mergeCell ref="A77:B77"/>
    <mergeCell ref="A82:B82"/>
    <mergeCell ref="A83:B83"/>
    <mergeCell ref="A70:C70"/>
    <mergeCell ref="A55:C55"/>
    <mergeCell ref="A56:C56"/>
    <mergeCell ref="A58:C58"/>
    <mergeCell ref="A59:C59"/>
    <mergeCell ref="A62:C62"/>
    <mergeCell ref="A63:C63"/>
    <mergeCell ref="A64:C64"/>
    <mergeCell ref="A65:C65"/>
    <mergeCell ref="A66:C66"/>
    <mergeCell ref="A68:C68"/>
    <mergeCell ref="A69:C69"/>
    <mergeCell ref="A22:C22"/>
    <mergeCell ref="A23:C23"/>
    <mergeCell ref="A12:C12"/>
    <mergeCell ref="A13:C13"/>
    <mergeCell ref="A16:C16"/>
    <mergeCell ref="A17:C17"/>
    <mergeCell ref="A50:A52"/>
    <mergeCell ref="B50:F54"/>
    <mergeCell ref="G50:H54"/>
    <mergeCell ref="A24:C24"/>
    <mergeCell ref="A28:B28"/>
    <mergeCell ref="A29:B29"/>
    <mergeCell ref="A30:B30"/>
    <mergeCell ref="A31:B31"/>
    <mergeCell ref="A36:B36"/>
    <mergeCell ref="A37:B37"/>
    <mergeCell ref="A38:B38"/>
    <mergeCell ref="A39:B39"/>
    <mergeCell ref="A40:B40"/>
    <mergeCell ref="D47:H49"/>
    <mergeCell ref="D1:H3"/>
    <mergeCell ref="A4:A6"/>
    <mergeCell ref="B4:F8"/>
    <mergeCell ref="G4:H8"/>
    <mergeCell ref="A9:C9"/>
    <mergeCell ref="A10:C10"/>
    <mergeCell ref="A18:C18"/>
    <mergeCell ref="A19:C19"/>
    <mergeCell ref="A20:C2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SAN ANTONIO </vt:lpstr>
      <vt:lpstr>Hoja1</vt:lpstr>
      <vt:lpstr>ADMINISTRACIÓN</vt:lpstr>
      <vt:lpstr>MEMORIAS</vt:lpstr>
      <vt:lpstr>APU'S</vt:lpstr>
      <vt:lpstr>APUS OE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VELEZ BETANCUR</dc:creator>
  <cp:lastModifiedBy>Infraestructura02</cp:lastModifiedBy>
  <cp:lastPrinted>2023-05-03T17:38:39Z</cp:lastPrinted>
  <dcterms:created xsi:type="dcterms:W3CDTF">2007-10-26T15:44:26Z</dcterms:created>
  <dcterms:modified xsi:type="dcterms:W3CDTF">2026-03-26T22:23:45Z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0x0101005E7326A5BD4B9D4EA45A567216D4ACF6</vt:lpwstr>
  </property>
</Properties>
</file>