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mc:AlternateContent xmlns:mc="http://schemas.openxmlformats.org/markup-compatibility/2006">
    <mc:Choice Requires="x15">
      <x15ac:absPath xmlns:x15ac="http://schemas.microsoft.com/office/spreadsheetml/2010/11/ac" url="https://inficaldas365-my.sharepoint.com/personal/laura_murillo_infi_gov_co/Documents/Descargas/"/>
    </mc:Choice>
  </mc:AlternateContent>
  <xr:revisionPtr revIDLastSave="2178" documentId="13_ncr:1_{28C9AAE8-20AE-4C18-B056-78A27649C360}" xr6:coauthVersionLast="47" xr6:coauthVersionMax="47" xr10:uidLastSave="{EACE0D3F-0113-4A65-8FEB-7193B8C325F5}"/>
  <bookViews>
    <workbookView xWindow="-108" yWindow="-108" windowWidth="23256" windowHeight="12456" tabRatio="862" firstSheet="1" activeTab="6" xr2:uid="{389C0B21-EA9C-4267-8D6E-79D2E27110C1}"/>
  </bookViews>
  <sheets>
    <sheet name="SMMLV" sheetId="5" state="hidden" r:id="rId1"/>
    <sheet name="INFORMACION" sheetId="1" r:id="rId2"/>
    <sheet name="CIERRE" sheetId="2" r:id="rId3"/>
    <sheet name="CAPACIDAD JURIDICA" sheetId="7" r:id="rId4"/>
    <sheet name="CAPACIDAD FINANCIERA" sheetId="6" r:id="rId5"/>
    <sheet name="EXPERIENCIA" sheetId="3" r:id="rId6"/>
    <sheet name="RESUMEN CALIFICACION" sheetId="4"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7" i="6" l="1"/>
  <c r="P7" i="6"/>
  <c r="Q7" i="6" s="1"/>
  <c r="O7" i="6"/>
  <c r="N7" i="6"/>
  <c r="M7" i="6"/>
  <c r="L7" i="6"/>
  <c r="R6" i="6"/>
  <c r="P6" i="6"/>
  <c r="Q6" i="6" s="1"/>
  <c r="O6" i="6"/>
  <c r="N6" i="6"/>
  <c r="M6" i="6"/>
  <c r="L6" i="6"/>
  <c r="R5" i="6"/>
  <c r="P5" i="6"/>
  <c r="Q5" i="6" s="1"/>
  <c r="O5" i="6"/>
  <c r="N5" i="6"/>
  <c r="M5" i="6"/>
  <c r="L5" i="6"/>
  <c r="R4" i="6"/>
  <c r="P4" i="6"/>
  <c r="Q4" i="6" s="1"/>
  <c r="O4" i="6"/>
  <c r="N4" i="6"/>
  <c r="M4" i="6"/>
  <c r="L4" i="6"/>
  <c r="D5" i="1" l="1"/>
  <c r="E6" i="4" l="1"/>
  <c r="E7" i="4"/>
  <c r="E8" i="4"/>
  <c r="E5" i="4"/>
  <c r="D6" i="4"/>
  <c r="D7" i="4"/>
  <c r="D8" i="4"/>
  <c r="D5" i="4"/>
  <c r="C5" i="4"/>
  <c r="F8" i="4"/>
  <c r="C8" i="4"/>
  <c r="B8" i="4"/>
  <c r="B7" i="6"/>
  <c r="AE1" i="7"/>
  <c r="B5" i="7"/>
  <c r="B6" i="7"/>
  <c r="B7" i="7"/>
  <c r="C21" i="1"/>
  <c r="C22" i="1" s="1"/>
  <c r="C14" i="1"/>
  <c r="B4" i="7"/>
  <c r="B5" i="6"/>
  <c r="B6" i="6"/>
  <c r="M7" i="3"/>
  <c r="N7" i="3" s="1"/>
  <c r="M8" i="3"/>
  <c r="N8" i="3" s="1"/>
  <c r="K7" i="3"/>
  <c r="J7" i="3"/>
  <c r="J8" i="3"/>
  <c r="K8" i="3" s="1"/>
  <c r="B7" i="3"/>
  <c r="B8" i="3"/>
  <c r="M12" i="3"/>
  <c r="N12" i="3" s="1"/>
  <c r="J12" i="3"/>
  <c r="K12" i="3" s="1"/>
  <c r="B12" i="3"/>
  <c r="O12" i="3" l="1"/>
  <c r="O8" i="3"/>
  <c r="O7" i="3"/>
  <c r="F6" i="4"/>
  <c r="F7" i="4"/>
  <c r="F5" i="4"/>
  <c r="C6" i="4"/>
  <c r="C7" i="4"/>
  <c r="B6" i="4"/>
  <c r="B7" i="4"/>
  <c r="M5" i="3"/>
  <c r="N5" i="3" s="1"/>
  <c r="O5" i="3" s="1"/>
  <c r="M6" i="3"/>
  <c r="N6" i="3" s="1"/>
  <c r="O6" i="3" s="1"/>
  <c r="M9" i="3"/>
  <c r="N9" i="3" s="1"/>
  <c r="O9" i="3" s="1"/>
  <c r="M10" i="3"/>
  <c r="M11" i="3"/>
  <c r="N11" i="3" s="1"/>
  <c r="O11" i="3" s="1"/>
  <c r="M13" i="3"/>
  <c r="N13" i="3" s="1"/>
  <c r="O13" i="3" s="1"/>
  <c r="B6" i="3"/>
  <c r="B9" i="3"/>
  <c r="B10" i="3"/>
  <c r="B11" i="3"/>
  <c r="B13" i="3"/>
  <c r="B4" i="6"/>
  <c r="N10" i="3" l="1"/>
  <c r="O10" i="3" s="1"/>
  <c r="G5" i="2"/>
  <c r="G6" i="2"/>
  <c r="L1" i="6"/>
  <c r="B5" i="4"/>
  <c r="M4" i="3"/>
  <c r="N4" i="3" s="1"/>
  <c r="O4" i="3" s="1"/>
  <c r="AC5" i="3"/>
  <c r="AD5" i="3"/>
  <c r="AE5" i="3"/>
  <c r="AF5" i="3"/>
  <c r="AC6" i="3"/>
  <c r="AD6" i="3"/>
  <c r="AE6" i="3"/>
  <c r="AF6" i="3"/>
  <c r="AC9" i="3"/>
  <c r="AD9" i="3"/>
  <c r="AE9" i="3"/>
  <c r="AF9" i="3"/>
  <c r="AC10" i="3"/>
  <c r="AD10" i="3"/>
  <c r="AE10" i="3"/>
  <c r="AF10" i="3"/>
  <c r="AC11" i="3"/>
  <c r="AD11" i="3"/>
  <c r="AE11" i="3"/>
  <c r="AF11" i="3"/>
  <c r="AC13" i="3"/>
  <c r="AD13" i="3"/>
  <c r="AE13" i="3"/>
  <c r="AF13" i="3"/>
  <c r="AF4" i="3"/>
  <c r="AC4" i="3"/>
  <c r="AE4" i="3"/>
  <c r="AD4" i="3"/>
  <c r="B5" i="3"/>
  <c r="B4" i="3"/>
  <c r="J13" i="3" l="1"/>
  <c r="K13" i="3" s="1"/>
  <c r="J11" i="3"/>
  <c r="K11" i="3" s="1"/>
  <c r="J9" i="3"/>
  <c r="K9" i="3" s="1"/>
  <c r="J5" i="3"/>
  <c r="K5" i="3" s="1"/>
  <c r="J10" i="3"/>
  <c r="K10" i="3" s="1"/>
  <c r="J6" i="3"/>
  <c r="K6" i="3" s="1"/>
  <c r="G4" i="2"/>
  <c r="J4" i="3"/>
  <c r="K4" i="3" s="1"/>
</calcChain>
</file>

<file path=xl/sharedStrings.xml><?xml version="1.0" encoding="utf-8"?>
<sst xmlns="http://schemas.openxmlformats.org/spreadsheetml/2006/main" count="401" uniqueCount="179">
  <si>
    <t>Objeto</t>
  </si>
  <si>
    <t>Presupuesto Oficial</t>
  </si>
  <si>
    <t>Plazo (Meses)</t>
  </si>
  <si>
    <t>Apertura del Proceso</t>
  </si>
  <si>
    <t>Cierre del proceso</t>
  </si>
  <si>
    <t>INFORMACIÓN GENERAL</t>
  </si>
  <si>
    <t>Número del proceso</t>
  </si>
  <si>
    <t>CRITERIOS DE CALIFICACIÓN DE LA EXPERIENCIA</t>
  </si>
  <si>
    <t>Presupuesto Oficial SMMLV</t>
  </si>
  <si>
    <t>EXPERIENCIA GENERAL</t>
  </si>
  <si>
    <t>REPRESENTANTE LEGAL</t>
  </si>
  <si>
    <t>No.</t>
  </si>
  <si>
    <t>PROPONENTE</t>
  </si>
  <si>
    <t>%</t>
  </si>
  <si>
    <t>CONFORMACION CONSORCIO</t>
  </si>
  <si>
    <t>N/A</t>
  </si>
  <si>
    <t>NOMBRE</t>
  </si>
  <si>
    <t>CONTRATANTE</t>
  </si>
  <si>
    <t>CONTRATO No.</t>
  </si>
  <si>
    <t>I, C, UT</t>
  </si>
  <si>
    <t>%
(1)</t>
  </si>
  <si>
    <t>INICIACIÓN
(DD/MM/AA)</t>
  </si>
  <si>
    <t>TERMINACIÓN
(DD/MM/AA)</t>
  </si>
  <si>
    <t>SUSPENSIÓN
(MESES)</t>
  </si>
  <si>
    <t>PLAZO DE EJECUCIÓN (MESES)
(2)</t>
  </si>
  <si>
    <t>VALOR TOTAL DEL CONTRATO INCLUIDAS SUS ADICIONES, AJUSTES Y EL IVA
(3)</t>
  </si>
  <si>
    <t>VALOR TOTAL DEL CONTRATO A CONSIDERAR COMO EXPERIENCIA
(4) = (3)*(1)</t>
  </si>
  <si>
    <t>VALOR FACTURADO ACTUALIZADO SMMLV
(VFA)</t>
  </si>
  <si>
    <t>OBSERVACIONES</t>
  </si>
  <si>
    <t>SUSPENSIÓN 1</t>
  </si>
  <si>
    <t>SUSPENSIÓN 2</t>
  </si>
  <si>
    <t>SUSPENSIÓN 3</t>
  </si>
  <si>
    <t>SUSPENSIÓN 4</t>
  </si>
  <si>
    <t>AÑO</t>
  </si>
  <si>
    <t>VALOR SMMLV</t>
  </si>
  <si>
    <t xml:space="preserve">EXPERIENCIA ESPECÍFICA 1 
POR VALOR </t>
  </si>
  <si>
    <t>Proponente</t>
  </si>
  <si>
    <t>CALIFICACIÓN JURIDICA</t>
  </si>
  <si>
    <t>CALIFICACIÓN FINANCIERA</t>
  </si>
  <si>
    <t>CALIFICACIÓN ORGANIZACIONAL</t>
  </si>
  <si>
    <t>CAPACIDAD RESIDUAL DE CONTRATACIÓN</t>
  </si>
  <si>
    <t>EXPERIENCIA GENERAL
VTE</t>
  </si>
  <si>
    <t>PORCENTAJE DE PARTICIPACIÓN EN PROPONENTE PLURAL</t>
  </si>
  <si>
    <t>CALIFICACIÓN TÉCNICA</t>
  </si>
  <si>
    <t>FACTORES DE COMPARACIÓN DE LAS PROPUESTAS</t>
  </si>
  <si>
    <t>Emprendimientos y empresas de mujeres
(0.25)</t>
  </si>
  <si>
    <t>Conformación consorcial</t>
  </si>
  <si>
    <t>% participación</t>
  </si>
  <si>
    <t>Certificación MIPYME</t>
  </si>
  <si>
    <t>Informacion Financiera</t>
  </si>
  <si>
    <t>CAPACIDAD FINANCIERA</t>
  </si>
  <si>
    <t>CAPACIDAD ORGANIZACIONAL</t>
  </si>
  <si>
    <t>CAPACIDAD RESIDUAL</t>
  </si>
  <si>
    <t>Observaciones</t>
  </si>
  <si>
    <t>Activo Corriente</t>
  </si>
  <si>
    <t>Activo Total</t>
  </si>
  <si>
    <t>Pasivo Corriente</t>
  </si>
  <si>
    <t>Pasivo Total</t>
  </si>
  <si>
    <t>Utilidad operacional</t>
  </si>
  <si>
    <t>Gastos de intereses</t>
  </si>
  <si>
    <t>CAPITAL DE TRABAJO</t>
  </si>
  <si>
    <t>LIQUIDEZ</t>
  </si>
  <si>
    <t>NIVEL DE ENDEUDAMIENTO</t>
  </si>
  <si>
    <t>RAZON DE COBERTURA DE INTERESES</t>
  </si>
  <si>
    <t>PATRIMONIO</t>
  </si>
  <si>
    <t>RENTABILIDAD SOBRE PATRIMONIO</t>
  </si>
  <si>
    <t>RENTABILIDAD SOBRE ACTIVOS</t>
  </si>
  <si>
    <t>HABIL</t>
  </si>
  <si>
    <t>NO HABIL</t>
  </si>
  <si>
    <t>SUBSANAR</t>
  </si>
  <si>
    <t>CUMPLE</t>
  </si>
  <si>
    <t>NO CUMPLE</t>
  </si>
  <si>
    <t>CARTA PRESENTACIÓN</t>
  </si>
  <si>
    <t>CONFORMACIÓN CONSORCIAL</t>
  </si>
  <si>
    <t>CERTIFICADO DE EXISTENCIA Y REPRESENTACIÓN LEGAL</t>
  </si>
  <si>
    <t>CERTIFICADO DE INSCRIPCIÓN EN EL REGISTRO UNICO DE PROPONENTES (RUP)</t>
  </si>
  <si>
    <t>GARANTIA DE SERIEDAD DE LA OFERTA</t>
  </si>
  <si>
    <t>OTROS DOCUMENTOS</t>
  </si>
  <si>
    <t>HABIL / NO HABIL / SUBSANAR</t>
  </si>
  <si>
    <t>PRESENTA</t>
  </si>
  <si>
    <t>INGENIERO QUE AVALA LA PROPUESTA
(Nombre)
Si es el mismo representante legal, repetir nombre</t>
  </si>
  <si>
    <t>MATRICULA PROFESIONAL
(No. de la Tarjeta)</t>
  </si>
  <si>
    <t>CERTIFICADO COPNIA
(Presenta/no presenta)</t>
  </si>
  <si>
    <t>VIGENCIA CERTIFICADO
(Fecha Expedición)</t>
  </si>
  <si>
    <t xml:space="preserve">PRESENTA </t>
  </si>
  <si>
    <t>TIPO (C/UT/I)</t>
  </si>
  <si>
    <t>DURACION
(CUMPLE / NO CUMPLE)</t>
  </si>
  <si>
    <t>% PARTICIPACIÓN</t>
  </si>
  <si>
    <t>FECHA DE EXPEDICIÓN</t>
  </si>
  <si>
    <t>DOMICILIO
(Ciudad)</t>
  </si>
  <si>
    <t>OBJETO SOCIAL</t>
  </si>
  <si>
    <t>DURACIÓN DE LA SOCIEDAD</t>
  </si>
  <si>
    <t>LIMITACIONES AL REPRESENTANTE LEGAL</t>
  </si>
  <si>
    <t>AUTORIZACIÓN DEL ORGANO SOCIAL</t>
  </si>
  <si>
    <t>NOMBRAMIENTO DEL REVISOR FISCAL</t>
  </si>
  <si>
    <t>FOTOCOPIA CÉDULA DEL REPRESENTANTE LEGAL</t>
  </si>
  <si>
    <t>FECHA DE EXPEDICIÓN
(dd/mm/aaaa)</t>
  </si>
  <si>
    <t>SANCIONES CONSIGNADAS EN EL RUP</t>
  </si>
  <si>
    <t>RENOVADO</t>
  </si>
  <si>
    <t>FIRMEZA RUP</t>
  </si>
  <si>
    <t>TOMADOR</t>
  </si>
  <si>
    <t>VIGENCIA
(HASTA)
(DD/MM/AAAA)</t>
  </si>
  <si>
    <t>VALOR (10% DEL LOTE DE MAYOR VALOR AL QUE SE PRESENTA)
($)</t>
  </si>
  <si>
    <t>CERTIFICADO DE ANTECEDENTES FISCALES DE LA CONTRALORIA GENERAL DE LA REPUBLICA</t>
  </si>
  <si>
    <t>CERTIFICADO DE ANTECEDENTES DISCIPLINARIOS DE LA PROCURADURIA GENERAL DE LA NACION</t>
  </si>
  <si>
    <t>CERTIFICADO DE ANTECEDENTES JUDICIALES</t>
  </si>
  <si>
    <t>CERTIFICADO DE MEDIDAS CORRECTIVAS</t>
  </si>
  <si>
    <t>CERTIFICACIÓN DE PAGOS DE SEGURIDAD SOCIAL Y APORTES PARAFISCALES</t>
  </si>
  <si>
    <t>COPIA TARJETA PROFESIONAL CONTADOR O REVISOR FISCAL</t>
  </si>
  <si>
    <t>ANTECEDENTES DISCIPLINARIOS JCC</t>
  </si>
  <si>
    <t>CERTIFICADO REDAM</t>
  </si>
  <si>
    <t>BENEFICIARIO INFICALDAS</t>
  </si>
  <si>
    <t>NO PRESENTA</t>
  </si>
  <si>
    <t>C</t>
  </si>
  <si>
    <t>UT</t>
  </si>
  <si>
    <t>I</t>
  </si>
  <si>
    <t>CONSULTADO ENTIDAD</t>
  </si>
  <si>
    <t>REQUISITOS FINANCIEROS HABILITANTES</t>
  </si>
  <si>
    <t>Razón cobertura de intereses
Utilidad operacional/gastos de intereses ≥ 1.0</t>
  </si>
  <si>
    <t>REQUISITOS ORGANIZACIONALES HABILITANTES</t>
  </si>
  <si>
    <t>PACTO DE TRANSPARENCIA</t>
  </si>
  <si>
    <t>Apoyo a la industria nacional
(20)</t>
  </si>
  <si>
    <t xml:space="preserve">EXPERIENCIA ESPECÍFICA 1
POR VALOR </t>
  </si>
  <si>
    <t>Liquidez
Activo corriente/Pasivo Corriente ≥ 1.2</t>
  </si>
  <si>
    <t>Nivel de endeudamiento
Pasivo Total/Activo Total ≤ 0.70</t>
  </si>
  <si>
    <t>Rentabilidad del patrimonio (ROE)
Utilidad operacional/Patrimonio ≥ 0,02</t>
  </si>
  <si>
    <t>Rentabilidad del activo (ROA)
Utilidad operacional/Activo total ≥ 0,01</t>
  </si>
  <si>
    <t>OBRAS DE CONSTRUCCIÓN O CONFORMACIÓN O ADECUACIÓN O NIVELACIÓN O CONSERVACION O MANTENIMIENTO DE: FRANJAS DE SEGURIDAD O CANALES O DRENAJES.</t>
  </si>
  <si>
    <t>30% Presupuesto Oficial SMMLV</t>
  </si>
  <si>
    <t>El valor del contrato en SMMLV de UNO (1) de los contratos válidos aportados para la acreditación de la experiencia general, deberá ser igual o mayor al 30% del valor del PRESUPUESTO OFICIAL (PO) del presente Proceso de Contratación.
Por lo menos uno (1) de los contratos válidos aportados como experiencia general deberá acreditar la CONSTRUCCION O CONFORMACION O ADECUACION O MANTENIMIENTO O NIVELACIÓN DE: FRANJAS DE SEGURIDAD O ROCERIAS DE FRANJAS DE SEGURIDAD.</t>
  </si>
  <si>
    <t>EXPERIENCIA ESPECIFICA</t>
  </si>
  <si>
    <t>BIOSERVICIOS S.A.S.</t>
  </si>
  <si>
    <t>INGEVIAL PYM S.A.S.</t>
  </si>
  <si>
    <t>FLOR MARIA OROZCO PUERTA</t>
  </si>
  <si>
    <t>Factor de Calidad
(30)</t>
  </si>
  <si>
    <t>INFI S.A001-2026</t>
  </si>
  <si>
    <t>Realizar el mantenimiento de las zonas verdes, poda y limpieza del cerramiento perimetral, jardines, canales de drenajes de aguas lluvias y servicios generales en el aeropuerto La Nubia de Manizales, Caldas</t>
  </si>
  <si>
    <t>Capital de trabajo
CT = AC - PC ≥ CTd</t>
  </si>
  <si>
    <t>JULIAN ANDRES GOMEZ RAMIREZ</t>
  </si>
  <si>
    <t xml:space="preserve">VICTOR HUGO URIBE CANO </t>
  </si>
  <si>
    <t>GRUPO YACAR INGENIERIA S.A.S</t>
  </si>
  <si>
    <t>CARLOS ARTURO JIMENEZ ALVARADO</t>
  </si>
  <si>
    <t>Plan de Calidad
(10)</t>
  </si>
  <si>
    <t>Criterios ambientales y sociales (20)</t>
  </si>
  <si>
    <t>Promoción a la industria nacional
(20)</t>
  </si>
  <si>
    <t>CORPOCALDAS</t>
  </si>
  <si>
    <t>197-2017</t>
  </si>
  <si>
    <t>047-2010</t>
  </si>
  <si>
    <t>El contrato aportado no cumple con el numeral 3.5.2 “CARACTERÍSTICAS DE LOS CONTRATOS PRESENTADOS PARA ACREDITAR LA EXPERIENCIA EXIGIDA”. El contrato aportado para efectos de acreditación de la ejecución de experiencia especifica (Por lo menos uno (1) de los contratos válidos aportados como experiencia general deberá acreditar la CONSTRUCCION O CONFORMACION O ADECUACION O MANTENIMIENTO O NIVELACIÓN DE: FRANJAS DE SEGURIDAD O ROCERIAS DE FRANJAS DE SEGURIDAD.). No cumple</t>
  </si>
  <si>
    <t>VICTOR HUGO URIBE CANO</t>
  </si>
  <si>
    <t>CHEC SA ESP</t>
  </si>
  <si>
    <t>INFICALDAS</t>
  </si>
  <si>
    <t>CT 2015 000125</t>
  </si>
  <si>
    <t>AA 11 - 2019</t>
  </si>
  <si>
    <t>AA 10 - 2020</t>
  </si>
  <si>
    <t>AA 22 - 2024</t>
  </si>
  <si>
    <t>GOBERNACION DE ANTIOQUIA</t>
  </si>
  <si>
    <t>FONDO DE VALORIZACION DEL MUNICIPIO DE MEDELLIN</t>
  </si>
  <si>
    <t>MINISTERIO DE DEFENSA NACIONAL - FUERZA AEREA COLOMBIANA</t>
  </si>
  <si>
    <t>2014-00251</t>
  </si>
  <si>
    <t>048-00-A-COFAC-DINSA-2016</t>
  </si>
  <si>
    <t>193-2017</t>
  </si>
  <si>
    <t>ARTURO JURADO ALVARAN</t>
  </si>
  <si>
    <t>JULIAN ANDRÉZ GÓMEZ RAMÍREZ</t>
  </si>
  <si>
    <t>17202091360CLD</t>
  </si>
  <si>
    <t>JULIAN ADNRÉS GÓMEZ RAMÍRE</t>
  </si>
  <si>
    <t xml:space="preserve">El proponente deberá subsanar su RUP toda vez que la fecha de expedición del mismo supera los 30 días al cierre del proceso, de igual forma el proponente debe presentar REDAM vigente </t>
  </si>
  <si>
    <t>JHON JAMES OROCO MARULANDA</t>
  </si>
  <si>
    <t>17202770454CLD</t>
  </si>
  <si>
    <t>MANIZALES</t>
  </si>
  <si>
    <t>BIOSERVICIOS S.A.S</t>
  </si>
  <si>
    <t>ALEXANDER GARCÍA OROZCO</t>
  </si>
  <si>
    <t>091037-0755809 CND</t>
  </si>
  <si>
    <t>INGEVIAL PYM S.A.S</t>
  </si>
  <si>
    <t>El proponente deberá subsanar su RUP toda vez que la fecha de expedición del mismo supera los 30 días al cierre del proceso</t>
  </si>
  <si>
    <t>17202098960CLD</t>
  </si>
  <si>
    <t>El RUP de JULIAN ANDRES GOMEZ RAMIREZ se encuentra fuera de vigencia de acuerdo con el pliego de condiciones
El certificado de la junta central de contadores de Liliana Marcela Carvajal Salgado se encuentra fuera de vigencia.
El certificado de la junta central de contadores de Sandra Milena Restrepo Betancourt se encuentra fuera de vigencia</t>
  </si>
  <si>
    <t>El proponente presenta formato para el calculo de la capacidad residual denominado contratos en ejecucion el cual los contratos que presentan estan vencidos en muchos de los casos y no presenta los contratos que en realidad a la fecha del dia de hoy estan en ejecucion</t>
  </si>
  <si>
    <t>El RUP de INGEVIAL PYM S.A.S se encuentra fuera de vigencia de acuerdo con el pliego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</si>
</sst>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 #,##0.00_);_(* \(#,##0.00\);_(* &quot;-&quot;??_);_(@_)"/>
    <numFmt numFmtId="165" formatCode="0.000"/>
    <numFmt numFmtId="166" formatCode="0.0%"/>
    <numFmt numFmtId="167" formatCode="_-&quot;$&quot;* #,##0_-;\-&quot;$&quot;* #,##0_-;_-&quot;$&quot;* &quot;-&quot;_-;_-@"/>
  </numFmts>
  <fonts count="15">
    <font>
      <sz val="11"/>
      <color theme="1"/>
      <name val="Aptos Narrow"/>
      <family val="2"/>
      <scheme val="minor"/>
    </font>
    <font>
      <sz val="11"/>
      <color theme="1"/>
      <name val="Aptos Narrow"/>
      <family val="2"/>
      <scheme val="minor"/>
    </font>
    <font>
      <b/>
      <sz val="11"/>
      <color theme="1"/>
      <name val="Aptos Narrow"/>
      <family val="2"/>
      <scheme val="minor"/>
    </font>
    <font>
      <sz val="11"/>
      <color theme="0"/>
      <name val="Aptos Narrow"/>
      <family val="2"/>
      <scheme val="minor"/>
    </font>
    <font>
      <b/>
      <sz val="12"/>
      <color theme="1"/>
      <name val="Arial"/>
      <family val="2"/>
    </font>
    <font>
      <sz val="10"/>
      <name val="Arial"/>
      <family val="2"/>
    </font>
    <font>
      <b/>
      <sz val="10"/>
      <color theme="1"/>
      <name val="Arial"/>
      <family val="2"/>
    </font>
    <font>
      <sz val="10"/>
      <color theme="1"/>
      <name val="Arial"/>
      <family val="2"/>
    </font>
    <font>
      <b/>
      <sz val="11"/>
      <name val="Aptos Narrow"/>
      <family val="2"/>
      <scheme val="minor"/>
    </font>
    <font>
      <sz val="8"/>
      <name val="Aptos Narrow"/>
      <family val="2"/>
      <scheme val="minor"/>
    </font>
    <font>
      <b/>
      <sz val="9"/>
      <color theme="1"/>
      <name val="Arial"/>
      <family val="2"/>
    </font>
    <font>
      <sz val="9"/>
      <color theme="1"/>
      <name val="Arial"/>
      <family val="2"/>
    </font>
    <font>
      <b/>
      <sz val="10"/>
      <color rgb="FF000000"/>
      <name val="Calibri"/>
      <family val="2"/>
    </font>
    <font>
      <b/>
      <sz val="10"/>
      <color theme="1"/>
      <name val="Calibri"/>
      <family val="2"/>
    </font>
    <font>
      <b/>
      <sz val="10"/>
      <name val="Arial"/>
      <family val="2"/>
    </font>
  </fonts>
  <fills count="6">
    <fill>
      <patternFill patternType="none"/>
    </fill>
    <fill>
      <patternFill patternType="gray125"/>
    </fill>
    <fill>
      <patternFill patternType="solid">
        <fgColor rgb="FFBFBFBF"/>
        <bgColor rgb="FFBFBFBF"/>
      </patternFill>
    </fill>
    <fill>
      <patternFill patternType="solid">
        <fgColor theme="0" tint="-0.14999847407452621"/>
        <bgColor indexed="64"/>
      </patternFill>
    </fill>
    <fill>
      <patternFill patternType="solid">
        <fgColor rgb="FFFFFF00"/>
        <bgColor indexed="64"/>
      </patternFill>
    </fill>
    <fill>
      <patternFill patternType="solid">
        <fgColor theme="5"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89">
    <xf numFmtId="0" fontId="0" fillId="0" borderId="0" xfId="0"/>
    <xf numFmtId="0" fontId="2" fillId="0" borderId="1" xfId="0" applyFont="1" applyBorder="1" applyAlignment="1">
      <alignment vertical="center"/>
    </xf>
    <xf numFmtId="0" fontId="0" fillId="0" borderId="1" xfId="0" applyBorder="1"/>
    <xf numFmtId="0" fontId="0" fillId="0" borderId="1" xfId="0" applyBorder="1" applyAlignment="1">
      <alignment wrapText="1"/>
    </xf>
    <xf numFmtId="44" fontId="0" fillId="0" borderId="1" xfId="1" applyFont="1" applyBorder="1"/>
    <xf numFmtId="14" fontId="0" fillId="0" borderId="1" xfId="0" applyNumberFormat="1" applyBorder="1"/>
    <xf numFmtId="0" fontId="6" fillId="0" borderId="4" xfId="0" applyFont="1" applyBorder="1" applyAlignment="1">
      <alignment vertical="center" wrapText="1"/>
    </xf>
    <xf numFmtId="164" fontId="7" fillId="0" borderId="4" xfId="0" applyNumberFormat="1" applyFont="1" applyBorder="1" applyAlignment="1">
      <alignment vertical="center"/>
    </xf>
    <xf numFmtId="0" fontId="0" fillId="0" borderId="0" xfId="0" applyAlignment="1">
      <alignment vertical="center"/>
    </xf>
    <xf numFmtId="0" fontId="0" fillId="0" borderId="1" xfId="0" applyBorder="1" applyAlignment="1">
      <alignment vertical="center"/>
    </xf>
    <xf numFmtId="44" fontId="0" fillId="0" borderId="1" xfId="1" applyFont="1" applyBorder="1" applyAlignment="1">
      <alignment horizontal="right"/>
    </xf>
    <xf numFmtId="0" fontId="2" fillId="3" borderId="1" xfId="0" applyFont="1" applyFill="1" applyBorder="1" applyAlignment="1">
      <alignment horizontal="center" vertical="center"/>
    </xf>
    <xf numFmtId="9" fontId="0" fillId="0" borderId="1" xfId="2" applyFont="1" applyBorder="1" applyAlignment="1">
      <alignment horizontal="center" vertical="center"/>
    </xf>
    <xf numFmtId="0" fontId="0" fillId="0" borderId="1" xfId="0" applyBorder="1" applyAlignment="1">
      <alignment horizontal="center"/>
    </xf>
    <xf numFmtId="0" fontId="0" fillId="0" borderId="5" xfId="0" applyBorder="1" applyAlignment="1">
      <alignment horizontal="center" vertical="center"/>
    </xf>
    <xf numFmtId="0" fontId="2" fillId="3" borderId="1" xfId="0" applyFont="1" applyFill="1" applyBorder="1" applyAlignment="1">
      <alignment horizontal="center" vertical="center" wrapText="1"/>
    </xf>
    <xf numFmtId="0" fontId="2" fillId="0" borderId="0" xfId="0" applyFont="1" applyAlignment="1">
      <alignment horizontal="center" vertical="center" wrapText="1"/>
    </xf>
    <xf numFmtId="165" fontId="0" fillId="0" borderId="0" xfId="0" applyNumberFormat="1"/>
    <xf numFmtId="165" fontId="0" fillId="0" borderId="1" xfId="0" applyNumberFormat="1" applyBorder="1" applyAlignment="1">
      <alignment horizontal="center" vertical="center"/>
    </xf>
    <xf numFmtId="0" fontId="0" fillId="3" borderId="1" xfId="0" applyFill="1" applyBorder="1"/>
    <xf numFmtId="44" fontId="0" fillId="0" borderId="0" xfId="0" applyNumberFormat="1"/>
    <xf numFmtId="10" fontId="0" fillId="0" borderId="1" xfId="2" applyNumberFormat="1" applyFont="1" applyBorder="1"/>
    <xf numFmtId="14" fontId="0" fillId="0" borderId="1" xfId="0" applyNumberFormat="1" applyBorder="1" applyAlignment="1">
      <alignment horizontal="center" vertical="center"/>
    </xf>
    <xf numFmtId="0" fontId="0" fillId="0" borderId="1" xfId="0" applyBorder="1" applyAlignment="1">
      <alignment vertical="center" wrapText="1"/>
    </xf>
    <xf numFmtId="0" fontId="6"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10" fillId="3" borderId="1" xfId="0" applyFont="1" applyFill="1" applyBorder="1" applyAlignment="1">
      <alignment horizontal="center" vertical="center"/>
    </xf>
    <xf numFmtId="167" fontId="11" fillId="3" borderId="1" xfId="0" applyNumberFormat="1" applyFont="1" applyFill="1" applyBorder="1" applyAlignment="1">
      <alignment horizontal="center" vertical="center"/>
    </xf>
    <xf numFmtId="166" fontId="10" fillId="3" borderId="1" xfId="0" applyNumberFormat="1" applyFont="1" applyFill="1" applyBorder="1" applyAlignment="1">
      <alignment horizontal="center" vertical="center" wrapText="1"/>
    </xf>
    <xf numFmtId="0" fontId="12" fillId="0" borderId="1" xfId="0" applyFont="1" applyBorder="1" applyAlignment="1">
      <alignment horizontal="center" vertical="center" wrapText="1"/>
    </xf>
    <xf numFmtId="49" fontId="12" fillId="0" borderId="1" xfId="0" applyNumberFormat="1" applyFont="1" applyBorder="1" applyAlignment="1">
      <alignment horizontal="center" vertical="center" wrapText="1"/>
    </xf>
    <xf numFmtId="14" fontId="12"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0" fillId="0" borderId="1" xfId="0" applyBorder="1" applyAlignment="1">
      <alignment horizontal="center" vertical="center"/>
    </xf>
    <xf numFmtId="0" fontId="2" fillId="0" borderId="0" xfId="0" applyFont="1" applyAlignment="1">
      <alignment vertical="center"/>
    </xf>
    <xf numFmtId="14" fontId="0" fillId="0" borderId="0" xfId="0" applyNumberFormat="1"/>
    <xf numFmtId="0" fontId="2" fillId="0" borderId="1" xfId="0" applyFont="1" applyBorder="1" applyAlignment="1">
      <alignment vertical="center" wrapText="1"/>
    </xf>
    <xf numFmtId="164" fontId="7" fillId="0" borderId="9" xfId="0" applyNumberFormat="1" applyFont="1" applyBorder="1" applyAlignment="1">
      <alignment vertical="center"/>
    </xf>
    <xf numFmtId="0" fontId="6" fillId="0" borderId="1" xfId="0" applyFont="1" applyBorder="1" applyAlignment="1">
      <alignment vertical="center" wrapText="1"/>
    </xf>
    <xf numFmtId="2" fontId="0" fillId="0" borderId="1" xfId="0" applyNumberFormat="1" applyBorder="1"/>
    <xf numFmtId="0" fontId="3" fillId="0" borderId="0" xfId="0" applyFont="1"/>
    <xf numFmtId="44" fontId="0" fillId="4" borderId="0" xfId="1" applyFont="1" applyFill="1"/>
    <xf numFmtId="2" fontId="0" fillId="0" borderId="1" xfId="0" applyNumberFormat="1" applyBorder="1" applyAlignment="1">
      <alignment horizontal="center" vertical="center"/>
    </xf>
    <xf numFmtId="44" fontId="0" fillId="0" borderId="1" xfId="1" applyFont="1" applyBorder="1" applyAlignment="1">
      <alignment vertical="center"/>
    </xf>
    <xf numFmtId="14" fontId="0" fillId="0" borderId="8" xfId="0" applyNumberFormat="1" applyBorder="1" applyAlignment="1">
      <alignment horizontal="center" vertical="center"/>
    </xf>
    <xf numFmtId="0" fontId="0" fillId="0" borderId="0" xfId="0" applyAlignment="1">
      <alignment horizontal="center" vertical="center"/>
    </xf>
    <xf numFmtId="44" fontId="0" fillId="0" borderId="1" xfId="1" applyFont="1" applyBorder="1" applyAlignment="1">
      <alignment horizontal="center" vertical="center"/>
    </xf>
    <xf numFmtId="0" fontId="0" fillId="0" borderId="12" xfId="0" applyBorder="1"/>
    <xf numFmtId="0" fontId="0" fillId="0" borderId="1" xfId="0" applyBorder="1" applyAlignment="1">
      <alignment horizontal="left" vertical="center"/>
    </xf>
    <xf numFmtId="165" fontId="0" fillId="0" borderId="1" xfId="0" applyNumberFormat="1" applyBorder="1" applyAlignment="1">
      <alignment vertical="center"/>
    </xf>
    <xf numFmtId="10" fontId="0" fillId="0" borderId="1" xfId="2" applyNumberFormat="1" applyFont="1" applyBorder="1" applyAlignment="1">
      <alignment vertical="center"/>
    </xf>
    <xf numFmtId="9" fontId="0" fillId="0" borderId="1" xfId="2" applyFont="1" applyFill="1" applyBorder="1" applyAlignment="1">
      <alignment horizontal="center" vertical="center"/>
    </xf>
    <xf numFmtId="0" fontId="0" fillId="0" borderId="0" xfId="0" applyAlignment="1">
      <alignment horizontal="center"/>
    </xf>
    <xf numFmtId="2" fontId="0" fillId="0" borderId="1" xfId="2" applyNumberFormat="1" applyFont="1" applyBorder="1" applyAlignment="1">
      <alignment horizontal="center" vertical="center"/>
    </xf>
    <xf numFmtId="165" fontId="0" fillId="0" borderId="0" xfId="0" applyNumberFormat="1" applyAlignment="1">
      <alignment vertical="center"/>
    </xf>
    <xf numFmtId="44" fontId="0" fillId="0" borderId="0" xfId="1" applyFont="1"/>
    <xf numFmtId="15" fontId="12" fillId="0" borderId="1" xfId="0" applyNumberFormat="1" applyFont="1" applyBorder="1" applyAlignment="1">
      <alignment horizontal="center" vertical="center" wrapText="1"/>
    </xf>
    <xf numFmtId="166" fontId="12" fillId="0" borderId="1" xfId="0" applyNumberFormat="1" applyFont="1" applyBorder="1" applyAlignment="1">
      <alignment horizontal="center" vertical="center" wrapText="1"/>
    </xf>
    <xf numFmtId="0" fontId="6" fillId="0" borderId="14" xfId="0" applyFont="1" applyBorder="1" applyAlignment="1">
      <alignment horizontal="center" vertical="center" wrapText="1"/>
    </xf>
    <xf numFmtId="44" fontId="0" fillId="5" borderId="1" xfId="1" applyFont="1" applyFill="1" applyBorder="1" applyAlignment="1">
      <alignment vertical="center"/>
    </xf>
    <xf numFmtId="0" fontId="0" fillId="0" borderId="8" xfId="0" applyBorder="1" applyAlignment="1">
      <alignment vertical="center"/>
    </xf>
    <xf numFmtId="10" fontId="0" fillId="0" borderId="1" xfId="2" applyNumberFormat="1" applyFont="1" applyBorder="1" applyAlignment="1">
      <alignment horizontal="center" vertical="center"/>
    </xf>
    <xf numFmtId="0" fontId="0" fillId="0" borderId="1" xfId="0" applyBorder="1" applyAlignment="1">
      <alignment horizontal="center" wrapText="1"/>
    </xf>
    <xf numFmtId="0" fontId="8" fillId="3" borderId="1" xfId="0" applyFont="1" applyFill="1" applyBorder="1" applyAlignment="1">
      <alignment horizontal="center"/>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2" xfId="0" applyFont="1" applyFill="1" applyBorder="1" applyAlignment="1">
      <alignment horizontal="center" vertical="center"/>
    </xf>
    <xf numFmtId="0" fontId="5" fillId="0" borderId="3" xfId="0" applyFont="1" applyBorder="1"/>
    <xf numFmtId="0" fontId="14" fillId="0" borderId="1" xfId="0" applyFont="1" applyBorder="1" applyAlignment="1">
      <alignment horizontal="center"/>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5" fillId="0" borderId="1" xfId="0" applyFont="1" applyBorder="1"/>
    <xf numFmtId="0" fontId="12" fillId="0" borderId="1" xfId="0" applyFont="1" applyBorder="1" applyAlignment="1">
      <alignment horizontal="center" vertical="center"/>
    </xf>
    <xf numFmtId="0" fontId="10" fillId="3" borderId="1" xfId="0" applyFont="1" applyFill="1" applyBorder="1" applyAlignment="1">
      <alignment horizontal="center" vertical="center" wrapText="1"/>
    </xf>
    <xf numFmtId="0" fontId="5" fillId="3" borderId="1" xfId="0" applyFont="1" applyFill="1" applyBorder="1" applyAlignment="1">
      <alignment wrapText="1"/>
    </xf>
    <xf numFmtId="0" fontId="5" fillId="3" borderId="1" xfId="0" applyFont="1" applyFill="1" applyBorder="1"/>
    <xf numFmtId="0" fontId="10"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6" fillId="0" borderId="15" xfId="0" applyFont="1" applyBorder="1" applyAlignment="1">
      <alignment horizontal="center" vertical="center" wrapText="1"/>
    </xf>
    <xf numFmtId="0" fontId="5" fillId="0" borderId="13" xfId="0" applyFont="1" applyBorder="1"/>
    <xf numFmtId="0" fontId="6" fillId="0" borderId="1" xfId="0" applyFont="1" applyBorder="1" applyAlignment="1">
      <alignment horizontal="center" vertical="center" wrapText="1"/>
    </xf>
    <xf numFmtId="0" fontId="0" fillId="0" borderId="1" xfId="0" applyBorder="1"/>
    <xf numFmtId="0" fontId="6" fillId="0" borderId="16" xfId="0" applyFont="1" applyBorder="1" applyAlignment="1">
      <alignment horizontal="center" vertical="center" wrapText="1"/>
    </xf>
    <xf numFmtId="0" fontId="5" fillId="0" borderId="14" xfId="0" applyFont="1" applyBorder="1"/>
    <xf numFmtId="0" fontId="6" fillId="0" borderId="9" xfId="0" applyFont="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cellXfs>
  <cellStyles count="3">
    <cellStyle name="Moneda" xfId="1" builtinId="4"/>
    <cellStyle name="Normal" xfId="0" builtinId="0"/>
    <cellStyle name="Porcentaje" xfId="2" builtinId="5"/>
  </cellStyles>
  <dxfs count="42">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patternType="solid">
          <fgColor rgb="FFFFFF00"/>
          <bgColor rgb="FFFFFF00"/>
        </patternFill>
      </fill>
    </dxf>
    <dxf>
      <fill>
        <patternFill patternType="solid">
          <fgColor rgb="FFFF0000"/>
          <bgColor rgb="FFFF00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FF00"/>
        </patternFill>
      </fill>
    </dxf>
    <dxf>
      <fill>
        <patternFill>
          <bgColor theme="8" tint="0.79998168889431442"/>
        </patternFill>
      </fill>
    </dxf>
    <dxf>
      <fill>
        <patternFill>
          <bgColor theme="5" tint="0.79998168889431442"/>
        </patternFill>
      </fill>
    </dxf>
    <dxf>
      <fill>
        <patternFill>
          <bgColor theme="7" tint="0.79998168889431442"/>
        </patternFill>
      </fill>
    </dxf>
    <dxf>
      <fill>
        <patternFill>
          <bgColor theme="8" tint="0.79998168889431442"/>
        </patternFill>
      </fill>
    </dxf>
    <dxf>
      <fill>
        <patternFill>
          <bgColor theme="5" tint="0.79998168889431442"/>
        </patternFill>
      </fill>
    </dxf>
    <dxf>
      <fill>
        <patternFill>
          <bgColor theme="8" tint="0.79998168889431442"/>
        </patternFill>
      </fill>
    </dxf>
    <dxf>
      <fill>
        <patternFill>
          <bgColor rgb="FFFF0000"/>
        </patternFill>
      </fill>
    </dxf>
    <dxf>
      <fill>
        <patternFill>
          <bgColor theme="8" tint="0.79998168889431442"/>
        </patternFill>
      </fill>
    </dxf>
    <dxf>
      <fill>
        <patternFill>
          <bgColor theme="5" tint="0.79998168889431442"/>
        </patternFill>
      </fill>
    </dxf>
    <dxf>
      <fill>
        <patternFill>
          <bgColor theme="8" tint="0.79998168889431442"/>
        </patternFill>
      </fill>
    </dxf>
    <dxf>
      <fill>
        <patternFill>
          <bgColor theme="5" tint="0.79998168889431442"/>
        </patternFill>
      </fill>
    </dxf>
    <dxf>
      <fill>
        <patternFill>
          <bgColor theme="8" tint="0.79998168889431442"/>
        </patternFill>
      </fill>
    </dxf>
    <dxf>
      <fill>
        <patternFill>
          <bgColor theme="5" tint="0.79998168889431442"/>
        </patternFill>
      </fill>
    </dxf>
    <dxf>
      <fill>
        <patternFill>
          <bgColor rgb="FFFF0000"/>
        </patternFill>
      </fill>
    </dxf>
    <dxf>
      <fill>
        <patternFill>
          <bgColor rgb="FFFFFF00"/>
        </patternFill>
      </fill>
    </dxf>
    <dxf>
      <fill>
        <patternFill>
          <bgColor theme="8"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DD48E-251D-4FE1-BFD0-2CF243A20D28}">
  <dimension ref="C3:K32"/>
  <sheetViews>
    <sheetView topLeftCell="A22" workbookViewId="0">
      <selection activeCell="D18" sqref="D18"/>
    </sheetView>
  </sheetViews>
  <sheetFormatPr baseColWidth="10" defaultRowHeight="13.8"/>
  <cols>
    <col min="3" max="3" width="20.59765625" customWidth="1"/>
    <col min="4" max="4" width="14.59765625" bestFit="1" customWidth="1"/>
  </cols>
  <sheetData>
    <row r="3" spans="3:11">
      <c r="C3" s="19" t="s">
        <v>33</v>
      </c>
      <c r="D3" s="19" t="s">
        <v>34</v>
      </c>
      <c r="I3" t="s">
        <v>67</v>
      </c>
      <c r="K3" t="s">
        <v>70</v>
      </c>
    </row>
    <row r="4" spans="3:11">
      <c r="C4" s="13">
        <v>2024</v>
      </c>
      <c r="D4" s="4">
        <v>1300000</v>
      </c>
      <c r="I4" t="s">
        <v>68</v>
      </c>
      <c r="K4" t="s">
        <v>71</v>
      </c>
    </row>
    <row r="5" spans="3:11">
      <c r="C5" s="13">
        <v>2023</v>
      </c>
      <c r="D5" s="4">
        <v>1160000</v>
      </c>
      <c r="I5" t="s">
        <v>69</v>
      </c>
      <c r="K5" t="s">
        <v>15</v>
      </c>
    </row>
    <row r="6" spans="3:11">
      <c r="C6" s="13">
        <v>2022</v>
      </c>
      <c r="D6" s="4">
        <v>1000000</v>
      </c>
    </row>
    <row r="7" spans="3:11">
      <c r="C7" s="13">
        <v>2021</v>
      </c>
      <c r="D7" s="4">
        <v>908526</v>
      </c>
      <c r="I7" t="s">
        <v>79</v>
      </c>
      <c r="K7" t="s">
        <v>113</v>
      </c>
    </row>
    <row r="8" spans="3:11">
      <c r="C8" s="13">
        <v>2020</v>
      </c>
      <c r="D8" s="4">
        <v>877803</v>
      </c>
      <c r="I8" t="s">
        <v>112</v>
      </c>
      <c r="K8" t="s">
        <v>114</v>
      </c>
    </row>
    <row r="9" spans="3:11">
      <c r="C9" s="13">
        <v>2019</v>
      </c>
      <c r="D9" s="4">
        <v>828116</v>
      </c>
      <c r="I9" t="s">
        <v>15</v>
      </c>
      <c r="K9" t="s">
        <v>115</v>
      </c>
    </row>
    <row r="10" spans="3:11">
      <c r="C10" s="13">
        <v>2018</v>
      </c>
      <c r="D10" s="4">
        <v>781242</v>
      </c>
    </row>
    <row r="11" spans="3:11">
      <c r="C11" s="13">
        <v>2017</v>
      </c>
      <c r="D11" s="4">
        <v>737717</v>
      </c>
    </row>
    <row r="12" spans="3:11">
      <c r="C12" s="13">
        <v>2016</v>
      </c>
      <c r="D12" s="4">
        <v>689455</v>
      </c>
      <c r="I12" t="s">
        <v>70</v>
      </c>
    </row>
    <row r="13" spans="3:11">
      <c r="C13" s="13">
        <v>2015</v>
      </c>
      <c r="D13" s="4">
        <v>644350</v>
      </c>
      <c r="I13" t="s">
        <v>71</v>
      </c>
    </row>
    <row r="14" spans="3:11">
      <c r="C14" s="13">
        <v>2014</v>
      </c>
      <c r="D14" s="4">
        <v>616000</v>
      </c>
      <c r="I14" t="s">
        <v>116</v>
      </c>
    </row>
    <row r="15" spans="3:11">
      <c r="C15" s="13">
        <v>2013</v>
      </c>
      <c r="D15" s="4">
        <v>589500</v>
      </c>
    </row>
    <row r="16" spans="3:11">
      <c r="C16" s="13">
        <v>2012</v>
      </c>
      <c r="D16" s="4">
        <v>566700</v>
      </c>
    </row>
    <row r="17" spans="3:4">
      <c r="C17" s="13">
        <v>2011</v>
      </c>
      <c r="D17" s="4">
        <v>535600</v>
      </c>
    </row>
    <row r="18" spans="3:4">
      <c r="C18" s="13">
        <v>2010</v>
      </c>
      <c r="D18" s="4">
        <v>515000</v>
      </c>
    </row>
    <row r="19" spans="3:4">
      <c r="C19" s="13">
        <v>2009</v>
      </c>
      <c r="D19" s="4">
        <v>496900</v>
      </c>
    </row>
    <row r="20" spans="3:4">
      <c r="C20" s="13">
        <v>2008</v>
      </c>
      <c r="D20" s="4">
        <v>461500</v>
      </c>
    </row>
    <row r="21" spans="3:4">
      <c r="C21" s="13">
        <v>2007</v>
      </c>
      <c r="D21" s="4">
        <v>433700</v>
      </c>
    </row>
    <row r="22" spans="3:4">
      <c r="C22" s="13">
        <v>2006</v>
      </c>
      <c r="D22" s="4">
        <v>408000</v>
      </c>
    </row>
    <row r="23" spans="3:4">
      <c r="C23" s="13">
        <v>2005</v>
      </c>
      <c r="D23" s="4">
        <v>381500</v>
      </c>
    </row>
    <row r="24" spans="3:4">
      <c r="C24" s="13">
        <v>2004</v>
      </c>
      <c r="D24" s="4">
        <v>358000</v>
      </c>
    </row>
    <row r="25" spans="3:4">
      <c r="C25" s="13">
        <v>2003</v>
      </c>
      <c r="D25" s="4">
        <v>332000</v>
      </c>
    </row>
    <row r="26" spans="3:4">
      <c r="C26" s="13">
        <v>2002</v>
      </c>
      <c r="D26" s="4">
        <v>309000</v>
      </c>
    </row>
    <row r="27" spans="3:4">
      <c r="C27" s="13">
        <v>2001</v>
      </c>
      <c r="D27" s="4">
        <v>286000</v>
      </c>
    </row>
    <row r="28" spans="3:4">
      <c r="C28" s="13">
        <v>2000</v>
      </c>
      <c r="D28" s="4">
        <v>260100</v>
      </c>
    </row>
    <row r="29" spans="3:4">
      <c r="C29" s="13">
        <v>1999</v>
      </c>
      <c r="D29" s="4">
        <v>236000</v>
      </c>
    </row>
    <row r="30" spans="3:4">
      <c r="C30" s="13">
        <v>1998</v>
      </c>
      <c r="D30" s="4">
        <v>203826</v>
      </c>
    </row>
    <row r="31" spans="3:4">
      <c r="C31" s="13">
        <v>1997</v>
      </c>
      <c r="D31" s="4">
        <v>172005</v>
      </c>
    </row>
    <row r="32" spans="3:4">
      <c r="C32" s="13">
        <v>1996</v>
      </c>
      <c r="D32" s="4">
        <v>142125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C0B47-FD64-475E-A7C1-764D9027380C}">
  <dimension ref="B2:D25"/>
  <sheetViews>
    <sheetView topLeftCell="B1" zoomScale="115" zoomScaleNormal="115" workbookViewId="0">
      <selection activeCell="D5" sqref="D5"/>
    </sheetView>
  </sheetViews>
  <sheetFormatPr baseColWidth="10" defaultRowHeight="13.8"/>
  <cols>
    <col min="2" max="2" width="46.59765625" customWidth="1"/>
    <col min="3" max="3" width="90.09765625" customWidth="1"/>
    <col min="4" max="4" width="17.69921875" bestFit="1" customWidth="1"/>
  </cols>
  <sheetData>
    <row r="2" spans="2:4">
      <c r="B2" s="63" t="s">
        <v>5</v>
      </c>
      <c r="C2" s="63"/>
    </row>
    <row r="3" spans="2:4">
      <c r="B3" s="1" t="s">
        <v>6</v>
      </c>
      <c r="C3" s="2" t="s">
        <v>135</v>
      </c>
    </row>
    <row r="4" spans="2:4" ht="30" customHeight="1">
      <c r="B4" s="1" t="s">
        <v>0</v>
      </c>
      <c r="C4" s="3" t="s">
        <v>136</v>
      </c>
    </row>
    <row r="5" spans="2:4" ht="15">
      <c r="B5" s="1" t="s">
        <v>1</v>
      </c>
      <c r="C5" s="10">
        <v>384279332</v>
      </c>
      <c r="D5" s="55">
        <f>+C5*30%</f>
        <v>115283799.59999999</v>
      </c>
    </row>
    <row r="6" spans="2:4" ht="15">
      <c r="B6" s="1" t="s">
        <v>2</v>
      </c>
      <c r="C6" s="2">
        <v>9</v>
      </c>
    </row>
    <row r="7" spans="2:4" ht="15">
      <c r="B7" s="1" t="s">
        <v>3</v>
      </c>
      <c r="C7" s="5">
        <v>46058</v>
      </c>
    </row>
    <row r="8" spans="2:4" ht="15">
      <c r="B8" s="1" t="s">
        <v>4</v>
      </c>
      <c r="C8" s="5">
        <v>46077</v>
      </c>
    </row>
    <row r="9" spans="2:4" ht="15">
      <c r="B9" s="34"/>
      <c r="C9" s="35"/>
    </row>
    <row r="10" spans="2:4" ht="15.75">
      <c r="B10" s="64" t="s">
        <v>117</v>
      </c>
      <c r="C10" s="65"/>
    </row>
    <row r="11" spans="2:4" ht="27.6">
      <c r="B11" s="36" t="s">
        <v>123</v>
      </c>
      <c r="C11" s="7">
        <v>1.2</v>
      </c>
    </row>
    <row r="12" spans="2:4" ht="27.6">
      <c r="B12" s="36" t="s">
        <v>124</v>
      </c>
      <c r="C12" s="37">
        <v>0.7</v>
      </c>
    </row>
    <row r="13" spans="2:4" ht="27.6">
      <c r="B13" s="36" t="s">
        <v>118</v>
      </c>
      <c r="C13" s="39">
        <v>1</v>
      </c>
    </row>
    <row r="14" spans="2:4" ht="26.4">
      <c r="B14" s="38" t="s">
        <v>137</v>
      </c>
      <c r="C14" s="4">
        <f>+(C5-0)*33%</f>
        <v>126812179.56</v>
      </c>
      <c r="D14" s="55"/>
    </row>
    <row r="15" spans="2:4" ht="15">
      <c r="B15" s="34"/>
      <c r="C15" s="35"/>
    </row>
    <row r="16" spans="2:4" ht="15.75">
      <c r="B16" s="66" t="s">
        <v>119</v>
      </c>
      <c r="C16" s="67"/>
    </row>
    <row r="17" spans="2:3" ht="26.4">
      <c r="B17" s="6" t="s">
        <v>125</v>
      </c>
      <c r="C17" s="39">
        <v>0.02</v>
      </c>
    </row>
    <row r="18" spans="2:3" ht="26.4">
      <c r="B18" s="6" t="s">
        <v>126</v>
      </c>
      <c r="C18" s="39">
        <v>0.01</v>
      </c>
    </row>
    <row r="19" spans="2:3">
      <c r="B19" s="34"/>
      <c r="C19" s="35"/>
    </row>
    <row r="20" spans="2:3" ht="15.6">
      <c r="B20" s="64" t="s">
        <v>7</v>
      </c>
      <c r="C20" s="65"/>
    </row>
    <row r="21" spans="2:3" ht="21.75" customHeight="1">
      <c r="B21" s="6" t="s">
        <v>8</v>
      </c>
      <c r="C21" s="7">
        <f>ROUND(C5/1750905,2)</f>
        <v>219.47</v>
      </c>
    </row>
    <row r="22" spans="2:3" ht="21.75" customHeight="1">
      <c r="B22" s="6" t="s">
        <v>128</v>
      </c>
      <c r="C22" s="7">
        <f>+ROUND(C21*30%,2)</f>
        <v>65.84</v>
      </c>
    </row>
    <row r="24" spans="2:3" ht="27.6">
      <c r="B24" s="1" t="s">
        <v>9</v>
      </c>
      <c r="C24" s="23" t="s">
        <v>127</v>
      </c>
    </row>
    <row r="25" spans="2:3" ht="96.6">
      <c r="B25" s="1" t="s">
        <v>130</v>
      </c>
      <c r="C25" s="23" t="s">
        <v>129</v>
      </c>
    </row>
  </sheetData>
  <mergeCells count="4">
    <mergeCell ref="B2:C2"/>
    <mergeCell ref="B20:C20"/>
    <mergeCell ref="B10:C10"/>
    <mergeCell ref="B16:C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A38A1-35C8-47B3-AFF8-33E45099B3BA}">
  <dimension ref="B3:G7"/>
  <sheetViews>
    <sheetView workbookViewId="0">
      <selection activeCell="D11" sqref="D11"/>
    </sheetView>
  </sheetViews>
  <sheetFormatPr baseColWidth="10" defaultRowHeight="13.8"/>
  <cols>
    <col min="2" max="2" width="4.09765625" bestFit="1" customWidth="1"/>
    <col min="3" max="3" width="34" bestFit="1" customWidth="1"/>
    <col min="4" max="4" width="37.59765625" bestFit="1" customWidth="1"/>
    <col min="5" max="5" width="32" bestFit="1" customWidth="1"/>
    <col min="6" max="6" width="11.09765625" customWidth="1"/>
  </cols>
  <sheetData>
    <row r="3" spans="2:7">
      <c r="B3" s="11" t="s">
        <v>11</v>
      </c>
      <c r="C3" s="11" t="s">
        <v>12</v>
      </c>
      <c r="D3" s="11" t="s">
        <v>10</v>
      </c>
      <c r="E3" s="11" t="s">
        <v>14</v>
      </c>
      <c r="F3" s="11" t="s">
        <v>13</v>
      </c>
    </row>
    <row r="4" spans="2:7">
      <c r="B4" s="14">
        <v>1</v>
      </c>
      <c r="C4" s="48" t="s">
        <v>138</v>
      </c>
      <c r="D4" s="48" t="s">
        <v>138</v>
      </c>
      <c r="E4" s="2" t="s">
        <v>15</v>
      </c>
      <c r="F4" s="51">
        <v>1</v>
      </c>
      <c r="G4" s="40">
        <f>SUMIF(EXPERIENCIA!C:C,E4,EXPERIENCIA!N:N)</f>
        <v>0</v>
      </c>
    </row>
    <row r="5" spans="2:7">
      <c r="B5" s="14">
        <v>2</v>
      </c>
      <c r="C5" s="48" t="s">
        <v>131</v>
      </c>
      <c r="D5" s="48" t="s">
        <v>139</v>
      </c>
      <c r="E5" s="2" t="s">
        <v>15</v>
      </c>
      <c r="F5" s="51">
        <v>1</v>
      </c>
      <c r="G5" s="40">
        <f>SUMIF(EXPERIENCIA!C:C,E5,EXPERIENCIA!N:N)</f>
        <v>0</v>
      </c>
    </row>
    <row r="6" spans="2:7">
      <c r="B6" s="33">
        <v>3</v>
      </c>
      <c r="C6" s="48" t="s">
        <v>132</v>
      </c>
      <c r="D6" s="48" t="s">
        <v>133</v>
      </c>
      <c r="E6" s="2" t="s">
        <v>15</v>
      </c>
      <c r="F6" s="51">
        <v>1</v>
      </c>
      <c r="G6" s="40">
        <f>SUMIF(EXPERIENCIA!C:C,E6,EXPERIENCIA!N:N)</f>
        <v>0</v>
      </c>
    </row>
    <row r="7" spans="2:7">
      <c r="B7" s="33">
        <v>4</v>
      </c>
      <c r="C7" s="2" t="s">
        <v>140</v>
      </c>
      <c r="D7" s="2" t="s">
        <v>141</v>
      </c>
      <c r="E7" s="2" t="s">
        <v>15</v>
      </c>
      <c r="F7" s="51">
        <v>1</v>
      </c>
    </row>
  </sheetData>
  <phoneticPr fontId="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B3AF4-6BEB-46EC-B38B-9B7391A58015}">
  <dimension ref="A1:AS7"/>
  <sheetViews>
    <sheetView zoomScale="85" zoomScaleNormal="85" workbookViewId="0">
      <pane xSplit="2" ySplit="3" topLeftCell="AM4" activePane="bottomRight" state="frozen"/>
      <selection pane="topRight" activeCell="D1" sqref="D1"/>
      <selection pane="bottomLeft" activeCell="A4" sqref="A4"/>
      <selection pane="bottomRight" activeCell="AV4" sqref="AV4"/>
    </sheetView>
  </sheetViews>
  <sheetFormatPr baseColWidth="10" defaultRowHeight="13.8"/>
  <cols>
    <col min="1" max="1" width="3.8984375" bestFit="1" customWidth="1"/>
    <col min="2" max="2" width="32.3984375" customWidth="1"/>
    <col min="3" max="3" width="13.09765625" style="8" bestFit="1" customWidth="1"/>
    <col min="4" max="4" width="37" customWidth="1"/>
    <col min="5" max="5" width="35.09765625" bestFit="1" customWidth="1"/>
    <col min="6" max="6" width="20.3984375" customWidth="1"/>
    <col min="7" max="7" width="21.296875" customWidth="1"/>
    <col min="8" max="8" width="19" bestFit="1" customWidth="1"/>
    <col min="9" max="9" width="9.8984375" bestFit="1" customWidth="1"/>
    <col min="10" max="10" width="7.296875" bestFit="1" customWidth="1"/>
    <col min="11" max="11" width="12.296875" bestFit="1" customWidth="1"/>
    <col min="12" max="12" width="32.59765625" bestFit="1" customWidth="1"/>
    <col min="13" max="13" width="12.09765625" bestFit="1" customWidth="1"/>
    <col min="14" max="14" width="13.09765625" bestFit="1" customWidth="1"/>
    <col min="15" max="15" width="10.3984375" bestFit="1" customWidth="1"/>
    <col min="16" max="16" width="18.296875" bestFit="1" customWidth="1"/>
    <col min="17" max="17" width="8" bestFit="1" customWidth="1"/>
    <col min="18" max="18" width="11.8984375" bestFit="1" customWidth="1"/>
    <col min="19" max="19" width="45.3984375" bestFit="1" customWidth="1"/>
    <col min="20" max="20" width="19.09765625" bestFit="1" customWidth="1"/>
    <col min="21" max="21" width="12.8984375" customWidth="1"/>
    <col min="22" max="22" width="15.59765625" customWidth="1"/>
    <col min="23" max="23" width="14.09765625" customWidth="1"/>
    <col min="24" max="24" width="13.09765625" bestFit="1" customWidth="1"/>
    <col min="25" max="25" width="12.3984375" bestFit="1" customWidth="1"/>
    <col min="26" max="26" width="18.296875" customWidth="1"/>
    <col min="27" max="27" width="10.09765625" bestFit="1" customWidth="1"/>
    <col min="28" max="28" width="11.296875" bestFit="1" customWidth="1"/>
    <col min="29" max="29" width="34" bestFit="1" customWidth="1"/>
    <col min="30" max="30" width="15" customWidth="1"/>
    <col min="31" max="31" width="15.59765625" customWidth="1"/>
    <col min="32" max="32" width="11.8984375" customWidth="1"/>
    <col min="33" max="33" width="21" customWidth="1"/>
    <col min="34" max="34" width="20.09765625" customWidth="1"/>
    <col min="35" max="36" width="21.3984375" bestFit="1" customWidth="1"/>
    <col min="37" max="37" width="17.59765625" bestFit="1" customWidth="1"/>
    <col min="38" max="38" width="14.09765625" customWidth="1"/>
    <col min="39" max="39" width="13.296875" bestFit="1" customWidth="1"/>
    <col min="40" max="40" width="13.3984375" bestFit="1" customWidth="1"/>
    <col min="42" max="42" width="11.3984375" customWidth="1"/>
    <col min="43" max="43" width="75.8984375" customWidth="1"/>
  </cols>
  <sheetData>
    <row r="1" spans="1:45" ht="15">
      <c r="AE1" s="41">
        <f>+INFORMACION!C5*10%</f>
        <v>38427933.200000003</v>
      </c>
    </row>
    <row r="2" spans="1:45">
      <c r="A2" s="69" t="s">
        <v>11</v>
      </c>
      <c r="B2" s="69" t="s">
        <v>12</v>
      </c>
      <c r="C2" s="69" t="s">
        <v>72</v>
      </c>
      <c r="D2" s="71"/>
      <c r="E2" s="71"/>
      <c r="F2" s="71"/>
      <c r="G2" s="71"/>
      <c r="H2" s="71"/>
      <c r="I2" s="72" t="s">
        <v>73</v>
      </c>
      <c r="J2" s="71"/>
      <c r="K2" s="71"/>
      <c r="L2" s="71"/>
      <c r="M2" s="71"/>
      <c r="N2" s="72" t="s">
        <v>74</v>
      </c>
      <c r="O2" s="71"/>
      <c r="P2" s="71"/>
      <c r="Q2" s="71"/>
      <c r="R2" s="71"/>
      <c r="S2" s="71"/>
      <c r="T2" s="71"/>
      <c r="U2" s="71"/>
      <c r="V2" s="71"/>
      <c r="W2" s="71"/>
      <c r="X2" s="69" t="s">
        <v>75</v>
      </c>
      <c r="Y2" s="71"/>
      <c r="Z2" s="71"/>
      <c r="AA2" s="71"/>
      <c r="AB2" s="71"/>
      <c r="AC2" s="68" t="s">
        <v>76</v>
      </c>
      <c r="AD2" s="68"/>
      <c r="AE2" s="68"/>
      <c r="AF2" s="68"/>
      <c r="AG2" s="69" t="s">
        <v>77</v>
      </c>
      <c r="AH2" s="69"/>
      <c r="AI2" s="69"/>
      <c r="AJ2" s="69"/>
      <c r="AK2" s="69"/>
      <c r="AL2" s="69"/>
      <c r="AM2" s="69"/>
      <c r="AN2" s="69"/>
      <c r="AO2" s="69"/>
      <c r="AP2" s="70" t="s">
        <v>78</v>
      </c>
      <c r="AQ2" s="69" t="s">
        <v>28</v>
      </c>
    </row>
    <row r="3" spans="1:45" ht="69">
      <c r="A3" s="71"/>
      <c r="B3" s="71"/>
      <c r="C3" s="29" t="s">
        <v>79</v>
      </c>
      <c r="D3" s="29" t="s">
        <v>10</v>
      </c>
      <c r="E3" s="29" t="s">
        <v>80</v>
      </c>
      <c r="F3" s="30" t="s">
        <v>81</v>
      </c>
      <c r="G3" s="29" t="s">
        <v>82</v>
      </c>
      <c r="H3" s="56" t="s">
        <v>83</v>
      </c>
      <c r="I3" s="31" t="s">
        <v>84</v>
      </c>
      <c r="J3" s="31" t="s">
        <v>85</v>
      </c>
      <c r="K3" s="31" t="s">
        <v>86</v>
      </c>
      <c r="L3" s="29" t="s">
        <v>16</v>
      </c>
      <c r="M3" s="57" t="s">
        <v>87</v>
      </c>
      <c r="N3" s="31" t="s">
        <v>84</v>
      </c>
      <c r="O3" s="31" t="s">
        <v>88</v>
      </c>
      <c r="P3" s="31" t="s">
        <v>89</v>
      </c>
      <c r="Q3" s="31" t="s">
        <v>90</v>
      </c>
      <c r="R3" s="31" t="s">
        <v>91</v>
      </c>
      <c r="S3" s="29" t="s">
        <v>10</v>
      </c>
      <c r="T3" s="29" t="s">
        <v>92</v>
      </c>
      <c r="U3" s="29" t="s">
        <v>93</v>
      </c>
      <c r="V3" s="29" t="s">
        <v>94</v>
      </c>
      <c r="W3" s="29" t="s">
        <v>95</v>
      </c>
      <c r="X3" s="31" t="s">
        <v>84</v>
      </c>
      <c r="Y3" s="31" t="s">
        <v>96</v>
      </c>
      <c r="Z3" s="31" t="s">
        <v>97</v>
      </c>
      <c r="AA3" s="31" t="s">
        <v>98</v>
      </c>
      <c r="AB3" s="32" t="s">
        <v>99</v>
      </c>
      <c r="AC3" s="29" t="s">
        <v>100</v>
      </c>
      <c r="AD3" s="29" t="s">
        <v>101</v>
      </c>
      <c r="AE3" s="29" t="s">
        <v>102</v>
      </c>
      <c r="AF3" s="29" t="s">
        <v>111</v>
      </c>
      <c r="AG3" s="32" t="s">
        <v>103</v>
      </c>
      <c r="AH3" s="32" t="s">
        <v>104</v>
      </c>
      <c r="AI3" s="32" t="s">
        <v>105</v>
      </c>
      <c r="AJ3" s="32" t="s">
        <v>106</v>
      </c>
      <c r="AK3" s="32" t="s">
        <v>107</v>
      </c>
      <c r="AL3" s="32" t="s">
        <v>120</v>
      </c>
      <c r="AM3" s="32" t="s">
        <v>108</v>
      </c>
      <c r="AN3" s="32" t="s">
        <v>109</v>
      </c>
      <c r="AO3" s="32" t="s">
        <v>110</v>
      </c>
      <c r="AP3" s="71"/>
      <c r="AQ3" s="71"/>
    </row>
    <row r="4" spans="1:45" ht="41.4">
      <c r="A4" s="33">
        <v>1</v>
      </c>
      <c r="B4" s="48" t="str">
        <f>IFERROR(VLOOKUP(A4,CIERRE!$B:$E,2,FALSE),"")</f>
        <v>JULIAN ANDRES GOMEZ RAMIREZ</v>
      </c>
      <c r="C4" s="33" t="s">
        <v>79</v>
      </c>
      <c r="D4" s="48" t="s">
        <v>163</v>
      </c>
      <c r="E4" s="48" t="s">
        <v>163</v>
      </c>
      <c r="F4" s="48" t="s">
        <v>164</v>
      </c>
      <c r="G4" s="33" t="s">
        <v>79</v>
      </c>
      <c r="H4" s="22">
        <v>45936</v>
      </c>
      <c r="I4" s="33" t="s">
        <v>15</v>
      </c>
      <c r="J4" s="33" t="s">
        <v>115</v>
      </c>
      <c r="K4" s="2" t="s">
        <v>15</v>
      </c>
      <c r="L4" s="2" t="s">
        <v>15</v>
      </c>
      <c r="M4" s="12">
        <v>0</v>
      </c>
      <c r="N4" s="9" t="s">
        <v>15</v>
      </c>
      <c r="O4" s="5" t="s">
        <v>15</v>
      </c>
      <c r="P4" s="2" t="s">
        <v>15</v>
      </c>
      <c r="Q4" s="9" t="s">
        <v>70</v>
      </c>
      <c r="R4" s="9" t="s">
        <v>70</v>
      </c>
      <c r="S4" s="48" t="s">
        <v>138</v>
      </c>
      <c r="T4" s="9" t="s">
        <v>15</v>
      </c>
      <c r="U4" s="33" t="s">
        <v>15</v>
      </c>
      <c r="V4" s="9" t="s">
        <v>15</v>
      </c>
      <c r="W4" s="9" t="s">
        <v>79</v>
      </c>
      <c r="X4" s="9" t="s">
        <v>79</v>
      </c>
      <c r="Y4" s="5">
        <v>45946</v>
      </c>
      <c r="Z4" s="9" t="s">
        <v>112</v>
      </c>
      <c r="AA4" s="9" t="s">
        <v>70</v>
      </c>
      <c r="AB4" s="9" t="s">
        <v>70</v>
      </c>
      <c r="AC4" s="48" t="s">
        <v>165</v>
      </c>
      <c r="AD4" s="22">
        <v>46152</v>
      </c>
      <c r="AE4" s="46">
        <v>38427933.200000003</v>
      </c>
      <c r="AF4" s="33" t="s">
        <v>70</v>
      </c>
      <c r="AG4" s="2" t="s">
        <v>116</v>
      </c>
      <c r="AH4" s="2" t="s">
        <v>116</v>
      </c>
      <c r="AI4" s="2" t="s">
        <v>116</v>
      </c>
      <c r="AJ4" s="2" t="s">
        <v>116</v>
      </c>
      <c r="AK4" s="9" t="s">
        <v>70</v>
      </c>
      <c r="AL4" s="33" t="s">
        <v>71</v>
      </c>
      <c r="AM4" s="9" t="s">
        <v>15</v>
      </c>
      <c r="AN4" s="9" t="s">
        <v>15</v>
      </c>
      <c r="AO4" s="2" t="s">
        <v>71</v>
      </c>
      <c r="AP4" s="33" t="s">
        <v>69</v>
      </c>
      <c r="AQ4" s="62" t="s">
        <v>166</v>
      </c>
    </row>
    <row r="5" spans="1:45" ht="15">
      <c r="A5" s="33">
        <v>2</v>
      </c>
      <c r="B5" s="48" t="str">
        <f>IFERROR(VLOOKUP(A5,CIERRE!$B:$E,2,FALSE),"")</f>
        <v>BIOSERVICIOS S.A.S.</v>
      </c>
      <c r="C5" s="33" t="s">
        <v>79</v>
      </c>
      <c r="D5" s="48" t="s">
        <v>149</v>
      </c>
      <c r="E5" s="48" t="s">
        <v>167</v>
      </c>
      <c r="F5" s="48" t="s">
        <v>168</v>
      </c>
      <c r="G5" s="33" t="s">
        <v>79</v>
      </c>
      <c r="H5" s="22">
        <v>46072</v>
      </c>
      <c r="I5" s="33" t="s">
        <v>15</v>
      </c>
      <c r="J5" s="33" t="s">
        <v>115</v>
      </c>
      <c r="K5" s="2" t="s">
        <v>15</v>
      </c>
      <c r="L5" s="2" t="s">
        <v>15</v>
      </c>
      <c r="M5" s="12">
        <v>0</v>
      </c>
      <c r="N5" s="9" t="s">
        <v>15</v>
      </c>
      <c r="O5" s="5" t="s">
        <v>15</v>
      </c>
      <c r="P5" s="2" t="s">
        <v>169</v>
      </c>
      <c r="Q5" s="9" t="s">
        <v>70</v>
      </c>
      <c r="R5" s="9" t="s">
        <v>70</v>
      </c>
      <c r="S5" s="2" t="s">
        <v>149</v>
      </c>
      <c r="T5" s="9" t="s">
        <v>112</v>
      </c>
      <c r="U5" s="33" t="s">
        <v>15</v>
      </c>
      <c r="V5" s="9" t="s">
        <v>70</v>
      </c>
      <c r="W5" s="9" t="s">
        <v>79</v>
      </c>
      <c r="X5" s="9" t="s">
        <v>79</v>
      </c>
      <c r="Y5" s="5">
        <v>46063</v>
      </c>
      <c r="Z5" s="9" t="s">
        <v>112</v>
      </c>
      <c r="AA5" s="9" t="s">
        <v>70</v>
      </c>
      <c r="AB5" s="9" t="s">
        <v>70</v>
      </c>
      <c r="AC5" s="48" t="s">
        <v>170</v>
      </c>
      <c r="AD5" s="22">
        <v>46173</v>
      </c>
      <c r="AE5" s="46">
        <v>38427933.200000003</v>
      </c>
      <c r="AF5" s="33" t="s">
        <v>70</v>
      </c>
      <c r="AG5" s="2" t="s">
        <v>116</v>
      </c>
      <c r="AH5" s="2" t="s">
        <v>116</v>
      </c>
      <c r="AI5" s="2" t="s">
        <v>116</v>
      </c>
      <c r="AJ5" s="2" t="s">
        <v>116</v>
      </c>
      <c r="AK5" s="9" t="s">
        <v>70</v>
      </c>
      <c r="AL5" s="33" t="s">
        <v>70</v>
      </c>
      <c r="AM5" s="9" t="s">
        <v>70</v>
      </c>
      <c r="AN5" s="9" t="s">
        <v>70</v>
      </c>
      <c r="AO5" s="2" t="s">
        <v>70</v>
      </c>
      <c r="AP5" s="33" t="s">
        <v>67</v>
      </c>
      <c r="AQ5" s="62"/>
      <c r="AR5" s="52"/>
      <c r="AS5" s="52"/>
    </row>
    <row r="6" spans="1:45" ht="27" customHeight="1">
      <c r="A6" s="33">
        <v>3</v>
      </c>
      <c r="B6" s="48" t="str">
        <f>IFERROR(VLOOKUP(A6,CIERRE!$B:$E,2,FALSE),"")</f>
        <v>INGEVIAL PYM S.A.S.</v>
      </c>
      <c r="C6" s="33" t="s">
        <v>79</v>
      </c>
      <c r="D6" s="48" t="s">
        <v>133</v>
      </c>
      <c r="E6" s="48" t="s">
        <v>171</v>
      </c>
      <c r="F6" s="48" t="s">
        <v>172</v>
      </c>
      <c r="G6" s="33" t="s">
        <v>79</v>
      </c>
      <c r="H6" s="22">
        <v>46076</v>
      </c>
      <c r="I6" s="33" t="s">
        <v>15</v>
      </c>
      <c r="J6" s="33" t="s">
        <v>115</v>
      </c>
      <c r="K6" s="2" t="s">
        <v>15</v>
      </c>
      <c r="L6" s="2" t="s">
        <v>15</v>
      </c>
      <c r="M6" s="12">
        <v>0</v>
      </c>
      <c r="N6" s="9" t="s">
        <v>15</v>
      </c>
      <c r="O6" s="5" t="s">
        <v>15</v>
      </c>
      <c r="P6" s="2" t="s">
        <v>169</v>
      </c>
      <c r="Q6" s="9" t="s">
        <v>70</v>
      </c>
      <c r="R6" s="9" t="s">
        <v>70</v>
      </c>
      <c r="S6" s="2" t="s">
        <v>133</v>
      </c>
      <c r="T6" s="9" t="s">
        <v>112</v>
      </c>
      <c r="U6" s="33" t="s">
        <v>15</v>
      </c>
      <c r="V6" s="9" t="s">
        <v>15</v>
      </c>
      <c r="W6" s="9" t="s">
        <v>79</v>
      </c>
      <c r="X6" s="9" t="s">
        <v>79</v>
      </c>
      <c r="Y6" s="5">
        <v>45929</v>
      </c>
      <c r="Z6" s="9" t="s">
        <v>112</v>
      </c>
      <c r="AA6" s="9" t="s">
        <v>70</v>
      </c>
      <c r="AB6" s="9" t="s">
        <v>70</v>
      </c>
      <c r="AC6" s="48" t="s">
        <v>173</v>
      </c>
      <c r="AD6" s="22">
        <v>46178</v>
      </c>
      <c r="AE6" s="46">
        <v>38428000</v>
      </c>
      <c r="AF6" s="33" t="s">
        <v>70</v>
      </c>
      <c r="AG6" s="2" t="s">
        <v>116</v>
      </c>
      <c r="AH6" s="2" t="s">
        <v>116</v>
      </c>
      <c r="AI6" s="2" t="s">
        <v>116</v>
      </c>
      <c r="AJ6" s="2" t="s">
        <v>116</v>
      </c>
      <c r="AK6" s="9" t="s">
        <v>70</v>
      </c>
      <c r="AL6" s="33" t="s">
        <v>71</v>
      </c>
      <c r="AM6" s="9" t="s">
        <v>15</v>
      </c>
      <c r="AN6" s="9" t="s">
        <v>15</v>
      </c>
      <c r="AO6" s="2" t="s">
        <v>70</v>
      </c>
      <c r="AP6" s="33" t="s">
        <v>69</v>
      </c>
      <c r="AQ6" s="62" t="s">
        <v>174</v>
      </c>
      <c r="AR6" s="52"/>
    </row>
    <row r="7" spans="1:45" ht="27" customHeight="1">
      <c r="A7" s="33">
        <v>4</v>
      </c>
      <c r="B7" s="48" t="str">
        <f>IFERROR(VLOOKUP(A7,CIERRE!$B:$E,2,FALSE),"")</f>
        <v>GRUPO YACAR INGENIERIA S.A.S</v>
      </c>
      <c r="C7" s="33" t="s">
        <v>79</v>
      </c>
      <c r="D7" s="48" t="s">
        <v>141</v>
      </c>
      <c r="E7" s="48" t="s">
        <v>162</v>
      </c>
      <c r="F7" s="48" t="s">
        <v>175</v>
      </c>
      <c r="G7" s="33" t="s">
        <v>79</v>
      </c>
      <c r="H7" s="22">
        <v>46076</v>
      </c>
      <c r="I7" s="33" t="s">
        <v>15</v>
      </c>
      <c r="J7" s="33" t="s">
        <v>115</v>
      </c>
      <c r="K7" s="2" t="s">
        <v>15</v>
      </c>
      <c r="L7" s="2" t="s">
        <v>15</v>
      </c>
      <c r="M7" s="12">
        <v>0</v>
      </c>
      <c r="N7" s="9" t="s">
        <v>15</v>
      </c>
      <c r="O7" s="5" t="s">
        <v>15</v>
      </c>
      <c r="P7" s="2" t="s">
        <v>169</v>
      </c>
      <c r="Q7" s="9" t="s">
        <v>70</v>
      </c>
      <c r="R7" s="9" t="s">
        <v>70</v>
      </c>
      <c r="S7" s="2" t="s">
        <v>141</v>
      </c>
      <c r="T7" s="9" t="s">
        <v>112</v>
      </c>
      <c r="U7" s="33" t="s">
        <v>15</v>
      </c>
      <c r="V7" s="9" t="s">
        <v>15</v>
      </c>
      <c r="W7" s="9" t="s">
        <v>79</v>
      </c>
      <c r="X7" s="9" t="s">
        <v>79</v>
      </c>
      <c r="Y7" s="5">
        <v>46076</v>
      </c>
      <c r="Z7" s="9" t="s">
        <v>112</v>
      </c>
      <c r="AA7" s="9" t="s">
        <v>70</v>
      </c>
      <c r="AB7" s="9" t="s">
        <v>70</v>
      </c>
      <c r="AC7" s="48" t="s">
        <v>140</v>
      </c>
      <c r="AD7" s="22">
        <v>46178</v>
      </c>
      <c r="AE7" s="46">
        <v>38427933.200000003</v>
      </c>
      <c r="AF7" s="33" t="s">
        <v>70</v>
      </c>
      <c r="AG7" s="2" t="s">
        <v>70</v>
      </c>
      <c r="AH7" s="2" t="s">
        <v>70</v>
      </c>
      <c r="AI7" s="2" t="s">
        <v>70</v>
      </c>
      <c r="AJ7" s="2" t="s">
        <v>70</v>
      </c>
      <c r="AK7" s="9" t="s">
        <v>70</v>
      </c>
      <c r="AL7" s="33" t="s">
        <v>70</v>
      </c>
      <c r="AM7" s="9" t="s">
        <v>15</v>
      </c>
      <c r="AN7" s="9" t="s">
        <v>15</v>
      </c>
      <c r="AO7" s="2" t="s">
        <v>70</v>
      </c>
      <c r="AP7" s="33" t="s">
        <v>67</v>
      </c>
      <c r="AQ7" s="62"/>
      <c r="AR7" s="52"/>
    </row>
  </sheetData>
  <mergeCells count="10">
    <mergeCell ref="AC2:AF2"/>
    <mergeCell ref="AG2:AO2"/>
    <mergeCell ref="AP2:AP3"/>
    <mergeCell ref="AQ2:AQ3"/>
    <mergeCell ref="A2:A3"/>
    <mergeCell ref="B2:B3"/>
    <mergeCell ref="C2:H2"/>
    <mergeCell ref="I2:M2"/>
    <mergeCell ref="N2:W2"/>
    <mergeCell ref="X2:AB2"/>
  </mergeCells>
  <conditionalFormatting sqref="C8:C54">
    <cfRule type="cellIs" dxfId="41" priority="78" operator="equal">
      <formula>"NO PRESENTA"</formula>
    </cfRule>
    <cfRule type="cellIs" dxfId="40" priority="79" operator="equal">
      <formula>"PRESENTA"</formula>
    </cfRule>
  </conditionalFormatting>
  <conditionalFormatting sqref="AP1:AP3 AP8:AP1048576">
    <cfRule type="cellIs" dxfId="39" priority="27" operator="equal">
      <formula>"SUBSANAR"</formula>
    </cfRule>
    <cfRule type="cellIs" dxfId="38" priority="28" operator="equal">
      <formula>"NO HABIL"</formula>
    </cfRule>
  </conditionalFormatting>
  <conditionalFormatting sqref="G4:G7 Q4:R7 T4:X7 Z4:AB7 C4:C7">
    <cfRule type="cellIs" dxfId="37" priority="15" operator="equal">
      <formula>"NO PRESENTA"</formula>
    </cfRule>
    <cfRule type="cellIs" dxfId="36" priority="16" operator="equal">
      <formula>"PRESENTA"</formula>
    </cfRule>
  </conditionalFormatting>
  <conditionalFormatting sqref="I4:I7">
    <cfRule type="cellIs" dxfId="35" priority="3" operator="equal">
      <formula>"NO PRESENTA"</formula>
    </cfRule>
    <cfRule type="cellIs" dxfId="34" priority="4" operator="equal">
      <formula>"PRESENTA"</formula>
    </cfRule>
  </conditionalFormatting>
  <conditionalFormatting sqref="N4:N7">
    <cfRule type="cellIs" dxfId="33" priority="1" operator="equal">
      <formula>"NO PRESENTA"</formula>
    </cfRule>
    <cfRule type="cellIs" dxfId="32" priority="2" operator="equal">
      <formula>"PRESENTA"</formula>
    </cfRule>
  </conditionalFormatting>
  <conditionalFormatting sqref="Q4:R7 U4:V7 AA4:AB7 AF4:AO7">
    <cfRule type="cellIs" dxfId="31" priority="13" operator="equal">
      <formula>"NO CUMPLE"</formula>
    </cfRule>
    <cfRule type="cellIs" dxfId="30" priority="14" operator="equal">
      <formula>"CUMPLE"</formula>
    </cfRule>
  </conditionalFormatting>
  <conditionalFormatting sqref="AF4:AF7">
    <cfRule type="cellIs" dxfId="29" priority="11" operator="equal">
      <formula>"NO PRESENTA"</formula>
    </cfRule>
    <cfRule type="cellIs" dxfId="28" priority="12" operator="equal">
      <formula>"PRESENTA"</formula>
    </cfRule>
  </conditionalFormatting>
  <conditionalFormatting sqref="AG4:AO7">
    <cfRule type="cellIs" dxfId="27" priority="5" operator="equal">
      <formula>"CONSULTADO ENTIDAD"</formula>
    </cfRule>
  </conditionalFormatting>
  <conditionalFormatting sqref="AK4:AN7">
    <cfRule type="cellIs" dxfId="26" priority="9" operator="equal">
      <formula>"NO PRESENTA"</formula>
    </cfRule>
    <cfRule type="cellIs" dxfId="25" priority="10" operator="equal">
      <formula>"PRESENTA"</formula>
    </cfRule>
  </conditionalFormatting>
  <conditionalFormatting sqref="AP4:AP7">
    <cfRule type="cellIs" dxfId="24" priority="6" operator="equal">
      <formula>"SUBSANAR"</formula>
    </cfRule>
    <cfRule type="cellIs" dxfId="23" priority="7" operator="equal">
      <formula>"NO HABIL"</formula>
    </cfRule>
  </conditionalFormatting>
  <conditionalFormatting sqref="AP4:AP7">
    <cfRule type="cellIs" dxfId="22" priority="8" operator="equal">
      <formula>"HABIL"</formula>
    </cfRule>
  </conditionalFormatting>
  <pageMargins left="0.7" right="0.7" top="0.75" bottom="0.75" header="0.3" footer="0.3"/>
  <pageSetup orientation="portrait" horizontalDpi="4294967293" verticalDpi="429496729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B80E5C-6167-47E7-B885-76A5AE109E0E}">
  <dimension ref="A1:X12"/>
  <sheetViews>
    <sheetView zoomScaleNormal="100" workbookViewId="0">
      <pane xSplit="2" ySplit="3" topLeftCell="U4" activePane="bottomRight" state="frozen"/>
      <selection pane="topRight" activeCell="D1" sqref="D1"/>
      <selection pane="bottomLeft" activeCell="A4" sqref="A4"/>
      <selection pane="bottomRight" activeCell="X4" sqref="X4"/>
    </sheetView>
  </sheetViews>
  <sheetFormatPr baseColWidth="10" defaultRowHeight="13.8"/>
  <cols>
    <col min="1" max="1" width="3.59765625" bestFit="1" customWidth="1"/>
    <col min="2" max="2" width="34" bestFit="1" customWidth="1"/>
    <col min="3" max="3" width="21.69921875" bestFit="1" customWidth="1"/>
    <col min="4" max="4" width="11.3984375" customWidth="1"/>
    <col min="6" max="10" width="19.296875" bestFit="1" customWidth="1"/>
    <col min="11" max="11" width="18.296875" bestFit="1" customWidth="1"/>
    <col min="12" max="12" width="19.296875" bestFit="1" customWidth="1"/>
    <col min="13" max="13" width="8.3984375" bestFit="1" customWidth="1"/>
    <col min="14" max="14" width="15" bestFit="1" customWidth="1"/>
    <col min="15" max="15" width="15.8984375" bestFit="1" customWidth="1"/>
    <col min="16" max="16" width="19.296875" bestFit="1" customWidth="1"/>
    <col min="17" max="17" width="12.8984375" bestFit="1" customWidth="1"/>
    <col min="18" max="18" width="14.3984375" bestFit="1" customWidth="1"/>
    <col min="19" max="19" width="11" customWidth="1"/>
    <col min="20" max="20" width="15.296875" customWidth="1"/>
    <col min="21" max="21" width="15.59765625" customWidth="1"/>
    <col min="22" max="22" width="72.296875" customWidth="1"/>
  </cols>
  <sheetData>
    <row r="1" spans="1:24" ht="15">
      <c r="L1" s="20">
        <f>+INFORMACION!C14</f>
        <v>126812179.56</v>
      </c>
    </row>
    <row r="2" spans="1:24">
      <c r="A2" s="73" t="s">
        <v>11</v>
      </c>
      <c r="B2" s="73" t="s">
        <v>36</v>
      </c>
      <c r="C2" s="73" t="s">
        <v>46</v>
      </c>
      <c r="D2" s="73" t="s">
        <v>47</v>
      </c>
      <c r="E2" s="73" t="s">
        <v>48</v>
      </c>
      <c r="F2" s="76" t="s">
        <v>49</v>
      </c>
      <c r="G2" s="75"/>
      <c r="H2" s="75"/>
      <c r="I2" s="75"/>
      <c r="J2" s="75"/>
      <c r="K2" s="75"/>
      <c r="L2" s="76" t="s">
        <v>50</v>
      </c>
      <c r="M2" s="75"/>
      <c r="N2" s="75"/>
      <c r="O2" s="26"/>
      <c r="P2" s="27"/>
      <c r="Q2" s="73" t="s">
        <v>51</v>
      </c>
      <c r="R2" s="75"/>
      <c r="S2" s="73" t="s">
        <v>50</v>
      </c>
      <c r="T2" s="73" t="s">
        <v>51</v>
      </c>
      <c r="U2" s="73" t="s">
        <v>52</v>
      </c>
      <c r="V2" s="73" t="s">
        <v>53</v>
      </c>
    </row>
    <row r="3" spans="1:24" ht="36">
      <c r="A3" s="75"/>
      <c r="B3" s="75"/>
      <c r="C3" s="75"/>
      <c r="D3" s="75"/>
      <c r="E3" s="75"/>
      <c r="F3" s="25" t="s">
        <v>54</v>
      </c>
      <c r="G3" s="25" t="s">
        <v>55</v>
      </c>
      <c r="H3" s="25" t="s">
        <v>56</v>
      </c>
      <c r="I3" s="25" t="s">
        <v>57</v>
      </c>
      <c r="J3" s="25" t="s">
        <v>58</v>
      </c>
      <c r="K3" s="25" t="s">
        <v>59</v>
      </c>
      <c r="L3" s="25" t="s">
        <v>60</v>
      </c>
      <c r="M3" s="25" t="s">
        <v>61</v>
      </c>
      <c r="N3" s="25" t="s">
        <v>62</v>
      </c>
      <c r="O3" s="25" t="s">
        <v>63</v>
      </c>
      <c r="P3" s="25" t="s">
        <v>64</v>
      </c>
      <c r="Q3" s="28" t="s">
        <v>65</v>
      </c>
      <c r="R3" s="28" t="s">
        <v>66</v>
      </c>
      <c r="S3" s="74"/>
      <c r="T3" s="75"/>
      <c r="U3" s="75"/>
      <c r="V3" s="75"/>
    </row>
    <row r="4" spans="1:24" ht="90">
      <c r="A4" s="33">
        <v>1</v>
      </c>
      <c r="B4" s="48" t="str">
        <f>IFERROR(VLOOKUP(A4,CIERRE!$B:$E,2,FALSE),"")</f>
        <v>JULIAN ANDRES GOMEZ RAMIREZ</v>
      </c>
      <c r="C4" s="60" t="s">
        <v>15</v>
      </c>
      <c r="D4" s="12">
        <v>1</v>
      </c>
      <c r="E4" s="33" t="s">
        <v>70</v>
      </c>
      <c r="F4" s="43">
        <v>379358377</v>
      </c>
      <c r="G4" s="43">
        <v>1203843523</v>
      </c>
      <c r="H4" s="43">
        <v>125334</v>
      </c>
      <c r="I4" s="43">
        <v>34776421</v>
      </c>
      <c r="J4" s="43">
        <v>313247992</v>
      </c>
      <c r="K4" s="43">
        <v>2951034</v>
      </c>
      <c r="L4" s="59">
        <f>($F4-$H4)</f>
        <v>379233043</v>
      </c>
      <c r="M4" s="42">
        <f>IFERROR(((F4))/((H4)),0)</f>
        <v>3026.7794612794614</v>
      </c>
      <c r="N4" s="53">
        <f>IFERROR(((I4))/((G4)),0)</f>
        <v>2.8887824983546469E-2</v>
      </c>
      <c r="O4" s="42">
        <f>IFERROR(((J4))/((K4)),0)</f>
        <v>106.14855403224767</v>
      </c>
      <c r="P4" s="43">
        <f>+G4-I4</f>
        <v>1169067102</v>
      </c>
      <c r="Q4" s="42">
        <f>IFERROR(((J4))/((P4)),0)</f>
        <v>0.26794697367166181</v>
      </c>
      <c r="R4" s="42">
        <f>IFERROR(((J4))/((G4)),0)</f>
        <v>0.26020656839136391</v>
      </c>
      <c r="S4" s="33" t="s">
        <v>69</v>
      </c>
      <c r="T4" s="33" t="s">
        <v>69</v>
      </c>
      <c r="U4" s="9" t="s">
        <v>69</v>
      </c>
      <c r="V4" s="3" t="s">
        <v>176</v>
      </c>
      <c r="X4" s="8"/>
    </row>
    <row r="5" spans="1:24" ht="60">
      <c r="A5" s="33">
        <v>2</v>
      </c>
      <c r="B5" s="48" t="str">
        <f>IFERROR(VLOOKUP(A5,CIERRE!$B:$E,2,FALSE),"")</f>
        <v>BIOSERVICIOS S.A.S.</v>
      </c>
      <c r="C5" s="60" t="s">
        <v>15</v>
      </c>
      <c r="D5" s="12">
        <v>1</v>
      </c>
      <c r="E5" s="13" t="s">
        <v>70</v>
      </c>
      <c r="F5" s="4">
        <v>4353569214</v>
      </c>
      <c r="G5" s="4">
        <v>4894404877</v>
      </c>
      <c r="H5" s="4">
        <v>1860076449</v>
      </c>
      <c r="I5" s="4">
        <v>2230416086</v>
      </c>
      <c r="J5" s="4">
        <v>358209937</v>
      </c>
      <c r="K5" s="4">
        <v>32451000</v>
      </c>
      <c r="L5" s="59">
        <f>($F5-$H5)</f>
        <v>2493492765</v>
      </c>
      <c r="M5" s="42">
        <f t="shared" ref="M5:M7" si="0">IFERROR(((F5))/((H5)),0)</f>
        <v>2.3405324100203151</v>
      </c>
      <c r="N5" s="53">
        <f t="shared" ref="N5:N7" si="1">IFERROR(((I5))/((G5)),0)</f>
        <v>0.45570731111381246</v>
      </c>
      <c r="O5" s="42">
        <f t="shared" ref="O5:O7" si="2">IFERROR(((J5))/((K5)),0)</f>
        <v>11.038486857107639</v>
      </c>
      <c r="P5" s="43">
        <f t="shared" ref="P5:P7" si="3">+G5-I5</f>
        <v>2663988791</v>
      </c>
      <c r="Q5" s="42">
        <f t="shared" ref="Q5:Q7" si="4">IFERROR(((J5))/((P5)),0)</f>
        <v>0.13446375533191948</v>
      </c>
      <c r="R5" s="42">
        <f t="shared" ref="R5:R7" si="5">IFERROR(((J5))/((G5)),0)</f>
        <v>7.3187638947344896E-2</v>
      </c>
      <c r="S5" s="33" t="s">
        <v>67</v>
      </c>
      <c r="T5" s="33" t="s">
        <v>67</v>
      </c>
      <c r="U5" s="9" t="s">
        <v>69</v>
      </c>
      <c r="V5" s="3" t="s">
        <v>177</v>
      </c>
      <c r="X5" s="8"/>
    </row>
    <row r="6" spans="1:24" ht="30">
      <c r="A6" s="33">
        <v>3</v>
      </c>
      <c r="B6" s="48" t="str">
        <f>IFERROR(VLOOKUP(A6,CIERRE!$B:$E,2,FALSE),"")</f>
        <v>INGEVIAL PYM S.A.S.</v>
      </c>
      <c r="C6" s="60" t="s">
        <v>15</v>
      </c>
      <c r="D6" s="12">
        <v>1</v>
      </c>
      <c r="E6" s="33" t="s">
        <v>70</v>
      </c>
      <c r="F6" s="43">
        <v>1598571100</v>
      </c>
      <c r="G6" s="43">
        <v>2687248735</v>
      </c>
      <c r="H6" s="43">
        <v>57760459</v>
      </c>
      <c r="I6" s="43">
        <v>57760459</v>
      </c>
      <c r="J6" s="43">
        <v>2118124201</v>
      </c>
      <c r="K6" s="43">
        <v>1920000</v>
      </c>
      <c r="L6" s="59">
        <f t="shared" ref="L6:L7" si="6">($F6-$H6)</f>
        <v>1540810641</v>
      </c>
      <c r="M6" s="42">
        <f t="shared" si="0"/>
        <v>27.675872520334369</v>
      </c>
      <c r="N6" s="53">
        <f t="shared" si="1"/>
        <v>2.1494273398550878E-2</v>
      </c>
      <c r="O6" s="42">
        <f t="shared" si="2"/>
        <v>1103.1896880208333</v>
      </c>
      <c r="P6" s="43">
        <f t="shared" si="3"/>
        <v>2629488276</v>
      </c>
      <c r="Q6" s="42">
        <f t="shared" si="4"/>
        <v>0.80552715154984778</v>
      </c>
      <c r="R6" s="42">
        <f t="shared" si="5"/>
        <v>0.7882129307244794</v>
      </c>
      <c r="S6" s="33" t="s">
        <v>69</v>
      </c>
      <c r="T6" s="33" t="s">
        <v>69</v>
      </c>
      <c r="U6" s="9" t="s">
        <v>69</v>
      </c>
      <c r="V6" s="3" t="s">
        <v>178</v>
      </c>
      <c r="X6" s="8"/>
    </row>
    <row r="7" spans="1:24" ht="15">
      <c r="A7" s="33">
        <v>4</v>
      </c>
      <c r="B7" s="48" t="str">
        <f>IFERROR(VLOOKUP(A7,CIERRE!$B:$E,2,FALSE),"")</f>
        <v>GRUPO YACAR INGENIERIA S.A.S</v>
      </c>
      <c r="C7" s="60" t="s">
        <v>15</v>
      </c>
      <c r="D7" s="12">
        <v>1</v>
      </c>
      <c r="E7" s="13" t="s">
        <v>70</v>
      </c>
      <c r="F7" s="4">
        <v>1075445000</v>
      </c>
      <c r="G7" s="4">
        <v>1140470000</v>
      </c>
      <c r="H7" s="4">
        <v>22310000</v>
      </c>
      <c r="I7" s="4">
        <v>22310000</v>
      </c>
      <c r="J7" s="4">
        <v>118160000</v>
      </c>
      <c r="K7" s="4">
        <v>0</v>
      </c>
      <c r="L7" s="59">
        <f t="shared" si="6"/>
        <v>1053135000</v>
      </c>
      <c r="M7" s="42">
        <f t="shared" si="0"/>
        <v>48.204616763783058</v>
      </c>
      <c r="N7" s="53">
        <f t="shared" si="1"/>
        <v>1.9562110358010296E-2</v>
      </c>
      <c r="O7" s="42">
        <f t="shared" si="2"/>
        <v>0</v>
      </c>
      <c r="P7" s="43">
        <f t="shared" si="3"/>
        <v>1118160000</v>
      </c>
      <c r="Q7" s="42">
        <f t="shared" si="4"/>
        <v>0.10567360663947914</v>
      </c>
      <c r="R7" s="42">
        <f t="shared" si="5"/>
        <v>0.10360640788446869</v>
      </c>
      <c r="S7" s="33" t="s">
        <v>67</v>
      </c>
      <c r="T7" s="33" t="s">
        <v>67</v>
      </c>
      <c r="U7" s="2" t="s">
        <v>67</v>
      </c>
      <c r="V7" s="3"/>
      <c r="X7" s="8"/>
    </row>
    <row r="12" spans="1:24" ht="15">
      <c r="G12" s="55"/>
    </row>
  </sheetData>
  <mergeCells count="12">
    <mergeCell ref="S2:S3"/>
    <mergeCell ref="T2:T3"/>
    <mergeCell ref="U2:U3"/>
    <mergeCell ref="V2:V3"/>
    <mergeCell ref="A2:A3"/>
    <mergeCell ref="B2:B3"/>
    <mergeCell ref="C2:C3"/>
    <mergeCell ref="D2:D3"/>
    <mergeCell ref="E2:E3"/>
    <mergeCell ref="F2:K2"/>
    <mergeCell ref="L2:N2"/>
    <mergeCell ref="Q2:R2"/>
  </mergeCells>
  <conditionalFormatting sqref="E1:E3 E8:E1048576">
    <cfRule type="cellIs" dxfId="21" priority="10" operator="equal">
      <formula>"NO CUMPLE"</formula>
    </cfRule>
    <cfRule type="cellIs" dxfId="20" priority="11" operator="equal">
      <formula>"CUMPLE"</formula>
    </cfRule>
  </conditionalFormatting>
  <conditionalFormatting sqref="S1:U3 S8:U1048576">
    <cfRule type="cellIs" dxfId="19" priority="6" operator="equal">
      <formula>"SUBSANAR"</formula>
    </cfRule>
    <cfRule type="cellIs" dxfId="18" priority="7" operator="equal">
      <formula>"NO HABIL"</formula>
    </cfRule>
    <cfRule type="cellIs" dxfId="17" priority="8" operator="equal">
      <formula>"HABIL"</formula>
    </cfRule>
  </conditionalFormatting>
  <conditionalFormatting sqref="S2:U3">
    <cfRule type="cellIs" dxfId="16" priority="12" operator="equal">
      <formula>"NO HÁBIL"</formula>
    </cfRule>
    <cfRule type="cellIs" dxfId="15" priority="13" operator="equal">
      <formula>"SUBSANAR"</formula>
    </cfRule>
  </conditionalFormatting>
  <conditionalFormatting sqref="E4:E7">
    <cfRule type="cellIs" dxfId="14" priority="4" operator="equal">
      <formula>"NO CUMPLE"</formula>
    </cfRule>
    <cfRule type="cellIs" dxfId="13" priority="5" operator="equal">
      <formula>"CUMPLE"</formula>
    </cfRule>
  </conditionalFormatting>
  <conditionalFormatting sqref="S4:U7">
    <cfRule type="cellIs" dxfId="12" priority="1" operator="equal">
      <formula>"SUBSANAR"</formula>
    </cfRule>
    <cfRule type="cellIs" dxfId="11" priority="2" operator="equal">
      <formula>"NO HABIL"</formula>
    </cfRule>
    <cfRule type="cellIs" dxfId="10" priority="3" operator="equal">
      <formula>"HABIL"</formula>
    </cfRule>
  </conditionalFormatting>
  <pageMargins left="0.7" right="0.7" top="0.75" bottom="0.75" header="0.3" footer="0.3"/>
  <pageSetup orientation="portrait" horizontalDpi="4294967293" vertic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E4C4C-4156-4A52-A0BA-AF50C364B89B}">
  <dimension ref="A2:AF13"/>
  <sheetViews>
    <sheetView topLeftCell="A3" zoomScaleNormal="100" workbookViewId="0">
      <pane xSplit="2" ySplit="1" topLeftCell="N10" activePane="bottomRight" state="frozen"/>
      <selection activeCell="A3" sqref="A3"/>
      <selection pane="topRight" activeCell="C3" sqref="C3"/>
      <selection pane="bottomLeft" activeCell="A4" sqref="A4"/>
      <selection pane="bottomRight" activeCell="P4" sqref="P4"/>
    </sheetView>
  </sheetViews>
  <sheetFormatPr baseColWidth="10" defaultRowHeight="13.8"/>
  <cols>
    <col min="1" max="1" width="4.09765625" style="45" bestFit="1" customWidth="1"/>
    <col min="2" max="2" width="34" bestFit="1" customWidth="1"/>
    <col min="3" max="3" width="39.3984375" bestFit="1" customWidth="1"/>
    <col min="4" max="4" width="42.09765625" customWidth="1"/>
    <col min="5" max="5" width="26" bestFit="1" customWidth="1"/>
    <col min="6" max="6" width="9.8984375" customWidth="1"/>
    <col min="7" max="7" width="8.296875" customWidth="1"/>
    <col min="8" max="8" width="15.09765625" customWidth="1"/>
    <col min="9" max="9" width="17.8984375" customWidth="1"/>
    <col min="10" max="10" width="13.8984375" customWidth="1"/>
    <col min="11" max="11" width="19.09765625" customWidth="1"/>
    <col min="12" max="12" width="22" customWidth="1"/>
    <col min="13" max="13" width="26.296875" customWidth="1"/>
    <col min="14" max="14" width="14.3984375" customWidth="1"/>
    <col min="15" max="15" width="13.59765625" customWidth="1"/>
    <col min="16" max="16" width="84.296875" customWidth="1"/>
    <col min="17" max="20" width="18.8984375" customWidth="1"/>
  </cols>
  <sheetData>
    <row r="2" spans="1:32" ht="15">
      <c r="O2" s="47"/>
    </row>
    <row r="3" spans="1:32" ht="69">
      <c r="A3" s="15" t="s">
        <v>11</v>
      </c>
      <c r="B3" s="15" t="s">
        <v>12</v>
      </c>
      <c r="C3" s="15" t="s">
        <v>16</v>
      </c>
      <c r="D3" s="15" t="s">
        <v>17</v>
      </c>
      <c r="E3" s="15" t="s">
        <v>18</v>
      </c>
      <c r="F3" s="15" t="s">
        <v>19</v>
      </c>
      <c r="G3" s="15" t="s">
        <v>20</v>
      </c>
      <c r="H3" s="15" t="s">
        <v>21</v>
      </c>
      <c r="I3" s="15" t="s">
        <v>22</v>
      </c>
      <c r="J3" s="15" t="s">
        <v>23</v>
      </c>
      <c r="K3" s="15" t="s">
        <v>24</v>
      </c>
      <c r="L3" s="15" t="s">
        <v>25</v>
      </c>
      <c r="M3" s="15" t="s">
        <v>26</v>
      </c>
      <c r="N3" s="15" t="s">
        <v>27</v>
      </c>
      <c r="O3" s="15" t="s">
        <v>122</v>
      </c>
      <c r="P3" s="15" t="s">
        <v>28</v>
      </c>
      <c r="Q3" s="16"/>
      <c r="R3" s="16"/>
      <c r="S3" s="16"/>
      <c r="T3" s="16"/>
      <c r="U3" s="77" t="s">
        <v>29</v>
      </c>
      <c r="V3" s="77"/>
      <c r="W3" s="78" t="s">
        <v>30</v>
      </c>
      <c r="X3" s="79"/>
      <c r="Y3" s="78" t="s">
        <v>31</v>
      </c>
      <c r="Z3" s="79"/>
      <c r="AA3" s="78" t="s">
        <v>32</v>
      </c>
      <c r="AB3" s="79"/>
    </row>
    <row r="4" spans="1:32" s="8" customFormat="1" ht="82.8">
      <c r="A4" s="33">
        <v>1</v>
      </c>
      <c r="B4" s="9" t="str">
        <f>IF($A4="","",VLOOKUP($A4,CIERRE!$B:$E,2,FALSE))</f>
        <v>JULIAN ANDRES GOMEZ RAMIREZ</v>
      </c>
      <c r="C4" s="9" t="s">
        <v>138</v>
      </c>
      <c r="D4" s="23" t="s">
        <v>145</v>
      </c>
      <c r="E4" s="9" t="s">
        <v>146</v>
      </c>
      <c r="F4" s="33" t="s">
        <v>115</v>
      </c>
      <c r="G4" s="12">
        <v>1</v>
      </c>
      <c r="H4" s="44">
        <v>43034</v>
      </c>
      <c r="I4" s="22">
        <v>43183</v>
      </c>
      <c r="J4" s="18">
        <f>+AC4+AD4+AE4+AF4</f>
        <v>0</v>
      </c>
      <c r="K4" s="18">
        <f>IF(H4="",0,ROUND(((((I4-H4)+1)/360)*12)-J4,3))</f>
        <v>5</v>
      </c>
      <c r="L4" s="43">
        <v>518001948</v>
      </c>
      <c r="M4" s="43">
        <f>ROUND(L4*G4,3)</f>
        <v>518001948</v>
      </c>
      <c r="N4" s="49">
        <f>IF(I4="",0,ROUND(M4/VLOOKUP(YEAR(I4),SMMLV!$C$3:$D$32,2,FALSE),2))</f>
        <v>663.05</v>
      </c>
      <c r="O4" s="50">
        <f>IFERROR(N4/(INFORMACION!$C$21),)</f>
        <v>3.0211418417095728</v>
      </c>
      <c r="P4" s="3" t="s">
        <v>148</v>
      </c>
      <c r="U4" s="9"/>
      <c r="V4" s="9"/>
      <c r="W4" s="9"/>
      <c r="X4" s="9"/>
      <c r="Y4" s="9"/>
      <c r="Z4" s="9"/>
      <c r="AA4" s="9"/>
      <c r="AB4" s="9"/>
      <c r="AC4" s="54">
        <f>IF(U4="",0,ROUND((((V4-U4)+1)/30),3))</f>
        <v>0</v>
      </c>
      <c r="AD4" s="54">
        <f>IF(W4="",0,ROUND((((X4-W4)+1)/30),3))</f>
        <v>0</v>
      </c>
      <c r="AE4" s="54">
        <f>IF(Y4="",0,ROUND((((Z4-Y4)+1)/30),3))</f>
        <v>0</v>
      </c>
      <c r="AF4" s="54">
        <f>IF(AA4="",0,ROUND((((AB4-AA4)+1)/30),3))</f>
        <v>0</v>
      </c>
    </row>
    <row r="5" spans="1:32" ht="82.8">
      <c r="A5" s="33">
        <v>1</v>
      </c>
      <c r="B5" s="9" t="str">
        <f>IF($A5="","",VLOOKUP($A5,CIERRE!$B:$E,2,FALSE))</f>
        <v>JULIAN ANDRES GOMEZ RAMIREZ</v>
      </c>
      <c r="C5" s="9" t="s">
        <v>138</v>
      </c>
      <c r="D5" s="23" t="s">
        <v>145</v>
      </c>
      <c r="E5" s="9" t="s">
        <v>147</v>
      </c>
      <c r="F5" s="33" t="s">
        <v>115</v>
      </c>
      <c r="G5" s="12">
        <v>1</v>
      </c>
      <c r="H5" s="44">
        <v>40422</v>
      </c>
      <c r="I5" s="22">
        <v>40563</v>
      </c>
      <c r="J5" s="18">
        <f t="shared" ref="J5:J13" si="0">+AC5+AD5+AE5+AF5</f>
        <v>0</v>
      </c>
      <c r="K5" s="18">
        <f t="shared" ref="K5:K13" si="1">IF(H5="",0,ROUND(((((I5-H5)+1)/360)*12)-J5,3))</f>
        <v>4.7329999999999997</v>
      </c>
      <c r="L5" s="43">
        <v>146762242</v>
      </c>
      <c r="M5" s="43">
        <f t="shared" ref="M5:M13" si="2">ROUND(L5*G5,3)</f>
        <v>146762242</v>
      </c>
      <c r="N5" s="49">
        <f>IF(I5="",0,ROUND(M5/VLOOKUP(YEAR(I5),SMMLV!$C$3:$D$32,2,FALSE),2))</f>
        <v>274.01</v>
      </c>
      <c r="O5" s="50">
        <f>IFERROR(N5/(INFORMACION!$C$21),)</f>
        <v>1.2485077687155419</v>
      </c>
      <c r="P5" s="3" t="s">
        <v>148</v>
      </c>
      <c r="U5" s="2"/>
      <c r="V5" s="2"/>
      <c r="W5" s="2"/>
      <c r="X5" s="2"/>
      <c r="Y5" s="2"/>
      <c r="Z5" s="2"/>
      <c r="AA5" s="2"/>
      <c r="AB5" s="2"/>
      <c r="AC5" s="17">
        <f t="shared" ref="AC5:AC13" si="3">IF(U5="",0,ROUND((((V5-U5)+1)/30),3))</f>
        <v>0</v>
      </c>
      <c r="AD5" s="17">
        <f t="shared" ref="AD5:AD13" si="4">IF(W5="",0,ROUND((((X5-W5)+1)/30),3))</f>
        <v>0</v>
      </c>
      <c r="AE5" s="17">
        <f t="shared" ref="AE5:AE13" si="5">IF(Y5="",0,ROUND((((Z5-Y5)+1)/30),3))</f>
        <v>0</v>
      </c>
      <c r="AF5" s="17">
        <f t="shared" ref="AF5:AF13" si="6">IF(AA5="",0,ROUND((((AB5-AA5)+1)/30),3))</f>
        <v>0</v>
      </c>
    </row>
    <row r="6" spans="1:32" ht="15">
      <c r="A6" s="33">
        <v>2</v>
      </c>
      <c r="B6" s="9" t="str">
        <f>IF($A6="","",VLOOKUP($A6,CIERRE!$B:$E,2,FALSE))</f>
        <v>BIOSERVICIOS S.A.S.</v>
      </c>
      <c r="C6" s="9" t="s">
        <v>149</v>
      </c>
      <c r="D6" s="23" t="s">
        <v>150</v>
      </c>
      <c r="E6" s="9" t="s">
        <v>152</v>
      </c>
      <c r="F6" s="33" t="s">
        <v>115</v>
      </c>
      <c r="G6" s="12">
        <v>1</v>
      </c>
      <c r="H6" s="44">
        <v>42036</v>
      </c>
      <c r="I6" s="22">
        <v>43524</v>
      </c>
      <c r="J6" s="18">
        <f t="shared" si="0"/>
        <v>1.633</v>
      </c>
      <c r="K6" s="18">
        <f t="shared" si="1"/>
        <v>48</v>
      </c>
      <c r="L6" s="43">
        <v>2007282807</v>
      </c>
      <c r="M6" s="43">
        <f t="shared" si="2"/>
        <v>2007282807</v>
      </c>
      <c r="N6" s="49">
        <f>IF(I6="",0,ROUND(M6/VLOOKUP(YEAR(I6),SMMLV!$C$3:$D$32,2,FALSE),2))</f>
        <v>2423.92</v>
      </c>
      <c r="O6" s="50">
        <f>IFERROR(N6/(INFORMACION!$C$21),)</f>
        <v>11.044425206178522</v>
      </c>
      <c r="P6" s="23"/>
      <c r="U6" s="5">
        <v>43921</v>
      </c>
      <c r="V6" s="5">
        <v>43969</v>
      </c>
      <c r="W6" s="2"/>
      <c r="X6" s="2"/>
      <c r="Y6" s="2"/>
      <c r="Z6" s="2"/>
      <c r="AA6" s="2"/>
      <c r="AB6" s="2"/>
      <c r="AC6" s="17">
        <f t="shared" si="3"/>
        <v>1.633</v>
      </c>
      <c r="AD6" s="17">
        <f t="shared" si="4"/>
        <v>0</v>
      </c>
      <c r="AE6" s="17">
        <f t="shared" si="5"/>
        <v>0</v>
      </c>
      <c r="AF6" s="17">
        <f t="shared" si="6"/>
        <v>0</v>
      </c>
    </row>
    <row r="7" spans="1:32" ht="15">
      <c r="A7" s="33">
        <v>2</v>
      </c>
      <c r="B7" s="9" t="str">
        <f>IF($A7="","",VLOOKUP($A7,CIERRE!$B:$E,2,FALSE))</f>
        <v>BIOSERVICIOS S.A.S.</v>
      </c>
      <c r="C7" s="48" t="s">
        <v>149</v>
      </c>
      <c r="D7" s="23" t="s">
        <v>151</v>
      </c>
      <c r="E7" s="9" t="s">
        <v>153</v>
      </c>
      <c r="F7" s="33" t="s">
        <v>115</v>
      </c>
      <c r="G7" s="12">
        <v>1</v>
      </c>
      <c r="H7" s="44">
        <v>43497</v>
      </c>
      <c r="I7" s="22">
        <v>43830</v>
      </c>
      <c r="J7" s="18">
        <f t="shared" si="0"/>
        <v>0</v>
      </c>
      <c r="K7" s="18">
        <f t="shared" si="1"/>
        <v>11.132999999999999</v>
      </c>
      <c r="L7" s="43">
        <v>104020168</v>
      </c>
      <c r="M7" s="43">
        <f t="shared" si="2"/>
        <v>104020168</v>
      </c>
      <c r="N7" s="49">
        <f>IF(I7="",0,ROUND(M7/VLOOKUP(YEAR(I7),SMMLV!$C$3:$D$32,2,FALSE),2))</f>
        <v>125.61</v>
      </c>
      <c r="O7" s="21">
        <f>IFERROR(N7/(INFORMACION!$C$21),)</f>
        <v>0.57233334852143802</v>
      </c>
      <c r="P7" s="23"/>
      <c r="U7" s="5"/>
      <c r="V7" s="5"/>
      <c r="W7" s="2"/>
      <c r="X7" s="2"/>
      <c r="Y7" s="2"/>
      <c r="Z7" s="2"/>
      <c r="AA7" s="2"/>
      <c r="AB7" s="2"/>
      <c r="AC7" s="17"/>
      <c r="AD7" s="17"/>
      <c r="AE7" s="17"/>
      <c r="AF7" s="17"/>
    </row>
    <row r="8" spans="1:32" ht="15">
      <c r="A8" s="33">
        <v>2</v>
      </c>
      <c r="B8" s="9" t="str">
        <f>IF($A8="","",VLOOKUP($A8,CIERRE!$B:$E,2,FALSE))</f>
        <v>BIOSERVICIOS S.A.S.</v>
      </c>
      <c r="C8" s="9" t="s">
        <v>149</v>
      </c>
      <c r="D8" s="23" t="s">
        <v>151</v>
      </c>
      <c r="E8" s="9" t="s">
        <v>154</v>
      </c>
      <c r="F8" s="33" t="s">
        <v>115</v>
      </c>
      <c r="G8" s="12">
        <v>1</v>
      </c>
      <c r="H8" s="44">
        <v>43862</v>
      </c>
      <c r="I8" s="22">
        <v>44196</v>
      </c>
      <c r="J8" s="18">
        <f t="shared" si="0"/>
        <v>0</v>
      </c>
      <c r="K8" s="18">
        <f t="shared" si="1"/>
        <v>11.167</v>
      </c>
      <c r="L8" s="43">
        <v>95592310</v>
      </c>
      <c r="M8" s="43">
        <f t="shared" si="2"/>
        <v>95592310</v>
      </c>
      <c r="N8" s="49">
        <f>IF(I8="",0,ROUND(M8/VLOOKUP(YEAR(I8),SMMLV!$C$3:$D$32,2,FALSE),2))</f>
        <v>108.9</v>
      </c>
      <c r="O8" s="50">
        <f>IFERROR(N8/(INFORMACION!$C$21),)</f>
        <v>0.49619537977855749</v>
      </c>
      <c r="P8" s="23"/>
      <c r="U8" s="5"/>
      <c r="V8" s="5"/>
      <c r="W8" s="2"/>
      <c r="X8" s="2"/>
      <c r="Y8" s="2"/>
      <c r="Z8" s="2"/>
      <c r="AA8" s="2"/>
      <c r="AB8" s="2"/>
      <c r="AC8" s="17"/>
      <c r="AD8" s="17"/>
      <c r="AE8" s="17"/>
      <c r="AF8" s="17"/>
    </row>
    <row r="9" spans="1:32" s="8" customFormat="1" ht="15">
      <c r="A9" s="33">
        <v>3</v>
      </c>
      <c r="B9" s="9" t="str">
        <f>IF($A9="","",VLOOKUP($A9,CIERRE!$B:$E,2,FALSE))</f>
        <v>INGEVIAL PYM S.A.S.</v>
      </c>
      <c r="C9" s="48" t="s">
        <v>133</v>
      </c>
      <c r="D9" s="23" t="s">
        <v>151</v>
      </c>
      <c r="E9" s="9" t="s">
        <v>155</v>
      </c>
      <c r="F9" s="33" t="s">
        <v>115</v>
      </c>
      <c r="G9" s="12">
        <v>1</v>
      </c>
      <c r="H9" s="44">
        <v>45411</v>
      </c>
      <c r="I9" s="22">
        <v>45657</v>
      </c>
      <c r="J9" s="18">
        <f t="shared" si="0"/>
        <v>0</v>
      </c>
      <c r="K9" s="18">
        <f t="shared" si="1"/>
        <v>8.2330000000000005</v>
      </c>
      <c r="L9" s="43">
        <v>268020160</v>
      </c>
      <c r="M9" s="43">
        <f t="shared" si="2"/>
        <v>268020160</v>
      </c>
      <c r="N9" s="49">
        <f>IF(I9="",0,ROUND(M9/VLOOKUP(YEAR(I9),SMMLV!$C$3:$D$32,2,FALSE),2))</f>
        <v>206.17</v>
      </c>
      <c r="O9" s="50">
        <f>IFERROR(N9/(INFORMACION!$C$21),)</f>
        <v>0.93939946234109439</v>
      </c>
      <c r="P9" s="23"/>
      <c r="U9" s="9"/>
      <c r="V9" s="9"/>
      <c r="W9" s="9"/>
      <c r="X9" s="9"/>
      <c r="Y9" s="9"/>
      <c r="Z9" s="9"/>
      <c r="AA9" s="9"/>
      <c r="AB9" s="9"/>
      <c r="AC9" s="54">
        <f t="shared" si="3"/>
        <v>0</v>
      </c>
      <c r="AD9" s="54">
        <f t="shared" si="4"/>
        <v>0</v>
      </c>
      <c r="AE9" s="54">
        <f t="shared" si="5"/>
        <v>0</v>
      </c>
      <c r="AF9" s="54">
        <f t="shared" si="6"/>
        <v>0</v>
      </c>
    </row>
    <row r="10" spans="1:32" s="8" customFormat="1" ht="82.8">
      <c r="A10" s="33">
        <v>4</v>
      </c>
      <c r="B10" s="9" t="str">
        <f>IF($A10="","",VLOOKUP($A10,CIERRE!$B:$E,2,FALSE))</f>
        <v>GRUPO YACAR INGENIERIA S.A.S</v>
      </c>
      <c r="C10" s="23" t="s">
        <v>162</v>
      </c>
      <c r="D10" s="23" t="s">
        <v>156</v>
      </c>
      <c r="E10" s="48">
        <v>4600002512</v>
      </c>
      <c r="F10" s="33" t="s">
        <v>113</v>
      </c>
      <c r="G10" s="12">
        <v>0.5</v>
      </c>
      <c r="H10" s="44">
        <v>41934</v>
      </c>
      <c r="I10" s="22">
        <v>42035</v>
      </c>
      <c r="J10" s="18">
        <f t="shared" si="0"/>
        <v>0</v>
      </c>
      <c r="K10" s="18">
        <f t="shared" si="1"/>
        <v>3.4</v>
      </c>
      <c r="L10" s="43">
        <v>286757091</v>
      </c>
      <c r="M10" s="43">
        <f t="shared" si="2"/>
        <v>143378545.5</v>
      </c>
      <c r="N10" s="49">
        <f>IF(I10="",0,ROUND(M10/VLOOKUP(YEAR(I10),SMMLV!$C$3:$D$32,2,FALSE),2))</f>
        <v>222.52</v>
      </c>
      <c r="O10" s="61">
        <f>IFERROR(N10/(INFORMACION!$C$21),)</f>
        <v>1.0138971157789221</v>
      </c>
      <c r="P10" s="3" t="s">
        <v>148</v>
      </c>
      <c r="U10" s="9"/>
      <c r="V10" s="9"/>
      <c r="W10" s="9"/>
      <c r="X10" s="9"/>
      <c r="Y10" s="9"/>
      <c r="Z10" s="9"/>
      <c r="AA10" s="9"/>
      <c r="AB10" s="9"/>
      <c r="AC10" s="54">
        <f t="shared" si="3"/>
        <v>0</v>
      </c>
      <c r="AD10" s="54">
        <f t="shared" si="4"/>
        <v>0</v>
      </c>
      <c r="AE10" s="54">
        <f t="shared" si="5"/>
        <v>0</v>
      </c>
      <c r="AF10" s="54">
        <f t="shared" si="6"/>
        <v>0</v>
      </c>
    </row>
    <row r="11" spans="1:32" s="8" customFormat="1" ht="82.8">
      <c r="A11" s="33">
        <v>4</v>
      </c>
      <c r="B11" s="9" t="str">
        <f>IF($A11="","",VLOOKUP($A11,CIERRE!$B:$E,2,FALSE))</f>
        <v>GRUPO YACAR INGENIERIA S.A.S</v>
      </c>
      <c r="C11" s="23" t="s">
        <v>162</v>
      </c>
      <c r="D11" s="23" t="s">
        <v>157</v>
      </c>
      <c r="E11" s="48" t="s">
        <v>159</v>
      </c>
      <c r="F11" s="33" t="s">
        <v>113</v>
      </c>
      <c r="G11" s="12">
        <v>0.3</v>
      </c>
      <c r="H11" s="44">
        <v>41961</v>
      </c>
      <c r="I11" s="22">
        <v>42362</v>
      </c>
      <c r="J11" s="18">
        <f t="shared" si="0"/>
        <v>0</v>
      </c>
      <c r="K11" s="18">
        <f t="shared" si="1"/>
        <v>13.4</v>
      </c>
      <c r="L11" s="43">
        <v>3073408890</v>
      </c>
      <c r="M11" s="43">
        <f t="shared" si="2"/>
        <v>922022667</v>
      </c>
      <c r="N11" s="49">
        <f>IF(I11="",0,ROUND(M11/VLOOKUP(YEAR(I11),SMMLV!$C$3:$D$32,2,FALSE),2))</f>
        <v>1430.93</v>
      </c>
      <c r="O11" s="61">
        <f>IFERROR(N11/(INFORMACION!$C$21),)</f>
        <v>6.5199343873877984</v>
      </c>
      <c r="P11" s="3" t="s">
        <v>148</v>
      </c>
      <c r="U11" s="9"/>
      <c r="V11" s="9"/>
      <c r="W11" s="9"/>
      <c r="X11" s="9"/>
      <c r="Y11" s="9"/>
      <c r="Z11" s="9"/>
      <c r="AA11" s="9"/>
      <c r="AB11" s="9"/>
      <c r="AC11" s="54">
        <f t="shared" si="3"/>
        <v>0</v>
      </c>
      <c r="AD11" s="54">
        <f t="shared" si="4"/>
        <v>0</v>
      </c>
      <c r="AE11" s="54">
        <f t="shared" si="5"/>
        <v>0</v>
      </c>
      <c r="AF11" s="54">
        <f t="shared" si="6"/>
        <v>0</v>
      </c>
    </row>
    <row r="12" spans="1:32" s="8" customFormat="1" ht="82.8">
      <c r="A12" s="33">
        <v>4</v>
      </c>
      <c r="B12" s="9" t="str">
        <f>IF($A12="","",VLOOKUP($A12,CIERRE!$B:$E,2,FALSE))</f>
        <v>GRUPO YACAR INGENIERIA S.A.S</v>
      </c>
      <c r="C12" s="23" t="s">
        <v>162</v>
      </c>
      <c r="D12" s="23" t="s">
        <v>158</v>
      </c>
      <c r="E12" s="48" t="s">
        <v>160</v>
      </c>
      <c r="F12" s="33" t="s">
        <v>113</v>
      </c>
      <c r="G12" s="12">
        <v>0.35</v>
      </c>
      <c r="H12" s="44">
        <v>42541</v>
      </c>
      <c r="I12" s="22">
        <v>42885</v>
      </c>
      <c r="J12" s="18">
        <f t="shared" si="0"/>
        <v>0</v>
      </c>
      <c r="K12" s="18">
        <f t="shared" si="1"/>
        <v>11.5</v>
      </c>
      <c r="L12" s="43">
        <v>491391807.51999998</v>
      </c>
      <c r="M12" s="43">
        <f t="shared" si="2"/>
        <v>171987132.632</v>
      </c>
      <c r="N12" s="49">
        <f>IF(I12="",0,ROUND(M12/VLOOKUP(YEAR(I12),SMMLV!$C$3:$D$32,2,FALSE),2))</f>
        <v>233.13</v>
      </c>
      <c r="O12" s="61">
        <f>IFERROR(N12/(INFORMACION!$C$21),)</f>
        <v>1.0622408529639586</v>
      </c>
      <c r="P12" s="3" t="s">
        <v>148</v>
      </c>
      <c r="U12" s="9"/>
      <c r="V12" s="9"/>
      <c r="W12" s="9"/>
      <c r="X12" s="9"/>
      <c r="Y12" s="9"/>
      <c r="Z12" s="9"/>
      <c r="AA12" s="9"/>
      <c r="AB12" s="9"/>
      <c r="AC12" s="54"/>
      <c r="AD12" s="54"/>
      <c r="AE12" s="54"/>
      <c r="AF12" s="54"/>
    </row>
    <row r="13" spans="1:32" ht="82.8">
      <c r="A13" s="33">
        <v>4</v>
      </c>
      <c r="B13" s="9" t="str">
        <f>IF($A13="","",VLOOKUP($A13,CIERRE!$B:$E,2,FALSE))</f>
        <v>GRUPO YACAR INGENIERIA S.A.S</v>
      </c>
      <c r="C13" s="23" t="s">
        <v>162</v>
      </c>
      <c r="D13" s="23" t="s">
        <v>145</v>
      </c>
      <c r="E13" s="48" t="s">
        <v>161</v>
      </c>
      <c r="F13" s="33" t="s">
        <v>115</v>
      </c>
      <c r="G13" s="12">
        <v>1</v>
      </c>
      <c r="H13" s="44">
        <v>43034</v>
      </c>
      <c r="I13" s="22">
        <v>43368</v>
      </c>
      <c r="J13" s="18">
        <f t="shared" si="0"/>
        <v>0</v>
      </c>
      <c r="K13" s="18">
        <f t="shared" si="1"/>
        <v>11.167</v>
      </c>
      <c r="L13" s="43">
        <v>2703845440</v>
      </c>
      <c r="M13" s="43">
        <f t="shared" si="2"/>
        <v>2703845440</v>
      </c>
      <c r="N13" s="49">
        <f>IF(I13="",0,ROUND(M13/VLOOKUP(YEAR(I13),SMMLV!$C$3:$D$32,2,FALSE),2))</f>
        <v>3460.96</v>
      </c>
      <c r="O13" s="61">
        <f>IFERROR(N13/(INFORMACION!$C$21),)</f>
        <v>15.7696268282681</v>
      </c>
      <c r="P13" s="3" t="s">
        <v>148</v>
      </c>
      <c r="U13" s="2"/>
      <c r="V13" s="2"/>
      <c r="W13" s="2"/>
      <c r="X13" s="2"/>
      <c r="Y13" s="2"/>
      <c r="Z13" s="2"/>
      <c r="AA13" s="2"/>
      <c r="AB13" s="2"/>
      <c r="AC13" s="17">
        <f t="shared" si="3"/>
        <v>0</v>
      </c>
      <c r="AD13" s="17">
        <f t="shared" si="4"/>
        <v>0</v>
      </c>
      <c r="AE13" s="17">
        <f t="shared" si="5"/>
        <v>0</v>
      </c>
      <c r="AF13" s="17">
        <f t="shared" si="6"/>
        <v>0</v>
      </c>
    </row>
  </sheetData>
  <mergeCells count="4">
    <mergeCell ref="U3:V3"/>
    <mergeCell ref="W3:X3"/>
    <mergeCell ref="Y3:Z3"/>
    <mergeCell ref="AA3:AB3"/>
  </mergeCells>
  <phoneticPr fontId="9" type="noConversion"/>
  <conditionalFormatting sqref="O4:O163">
    <cfRule type="cellIs" dxfId="9" priority="4" operator="greaterThan">
      <formula>0.3</formula>
    </cfRule>
  </conditionalFormatting>
  <pageMargins left="0.7" right="0.7" top="0.75" bottom="0.75" header="0.3" footer="0.3"/>
  <pageSetup orientation="portrait" horizontalDpi="4294967293" vertic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365F4D93-1200-4D04-8598-CA0E5409C153}">
          <x14:formula1>
            <xm:f>SMMLV!$K$7:$K$9</xm:f>
          </x14:formula1>
          <xm:sqref>F4:F13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ADEAC-DA05-4A9F-8685-F2CF288E8DED}">
  <dimension ref="A3:U8"/>
  <sheetViews>
    <sheetView tabSelected="1" workbookViewId="0">
      <selection activeCell="E12" sqref="E12"/>
    </sheetView>
  </sheetViews>
  <sheetFormatPr baseColWidth="10" defaultRowHeight="13.8"/>
  <cols>
    <col min="1" max="1" width="4" bestFit="1" customWidth="1"/>
    <col min="2" max="2" width="34" bestFit="1" customWidth="1"/>
    <col min="3" max="4" width="12.3984375" bestFit="1" customWidth="1"/>
    <col min="5" max="5" width="15.59765625" bestFit="1" customWidth="1"/>
    <col min="6" max="6" width="19.3984375" bestFit="1" customWidth="1"/>
    <col min="7" max="7" width="17.69921875" customWidth="1"/>
    <col min="8" max="8" width="13.09765625" bestFit="1" customWidth="1"/>
    <col min="9" max="9" width="16.8984375" hidden="1" customWidth="1"/>
    <col min="10" max="10" width="14.59765625" hidden="1" customWidth="1"/>
    <col min="11" max="11" width="23.296875" hidden="1" customWidth="1"/>
    <col min="12" max="12" width="18.09765625" hidden="1" customWidth="1"/>
    <col min="13" max="13" width="27.09765625" hidden="1" customWidth="1"/>
    <col min="14" max="14" width="58.59765625" hidden="1" customWidth="1"/>
    <col min="15" max="15" width="26.8984375" customWidth="1"/>
    <col min="17" max="17" width="16.69921875" customWidth="1"/>
    <col min="18" max="18" width="23.296875" customWidth="1"/>
    <col min="19" max="19" width="16.3984375" customWidth="1"/>
    <col min="20" max="20" width="18.09765625" customWidth="1"/>
    <col min="21" max="21" width="50.59765625" customWidth="1"/>
  </cols>
  <sheetData>
    <row r="3" spans="1:21" ht="33.75" customHeight="1">
      <c r="A3" s="82" t="s">
        <v>11</v>
      </c>
      <c r="B3" s="82" t="s">
        <v>12</v>
      </c>
      <c r="C3" s="82" t="s">
        <v>37</v>
      </c>
      <c r="D3" s="82" t="s">
        <v>38</v>
      </c>
      <c r="E3" s="82" t="s">
        <v>39</v>
      </c>
      <c r="F3" s="82" t="s">
        <v>40</v>
      </c>
      <c r="G3" s="82" t="s">
        <v>41</v>
      </c>
      <c r="H3" s="87" t="s">
        <v>35</v>
      </c>
      <c r="I3" s="82" t="s">
        <v>42</v>
      </c>
      <c r="J3" s="82" t="s">
        <v>43</v>
      </c>
      <c r="K3" s="82" t="s">
        <v>44</v>
      </c>
      <c r="L3" s="83"/>
      <c r="M3" s="83"/>
      <c r="N3" s="87" t="s">
        <v>28</v>
      </c>
      <c r="O3" s="86" t="s">
        <v>42</v>
      </c>
      <c r="P3" s="80" t="s">
        <v>43</v>
      </c>
      <c r="Q3" s="82" t="s">
        <v>44</v>
      </c>
      <c r="R3" s="82"/>
      <c r="S3" s="83"/>
      <c r="T3" s="83"/>
      <c r="U3" s="84" t="s">
        <v>28</v>
      </c>
    </row>
    <row r="4" spans="1:21" ht="39.6">
      <c r="A4" s="71"/>
      <c r="B4" s="71"/>
      <c r="C4" s="71"/>
      <c r="D4" s="71"/>
      <c r="E4" s="71"/>
      <c r="F4" s="71"/>
      <c r="G4" s="71"/>
      <c r="H4" s="88"/>
      <c r="I4" s="71"/>
      <c r="J4" s="71"/>
      <c r="K4" s="24" t="s">
        <v>134</v>
      </c>
      <c r="L4" s="24" t="s">
        <v>121</v>
      </c>
      <c r="M4" s="24" t="s">
        <v>45</v>
      </c>
      <c r="N4" s="88"/>
      <c r="O4" s="81"/>
      <c r="P4" s="81"/>
      <c r="Q4" s="58" t="s">
        <v>142</v>
      </c>
      <c r="R4" s="58" t="s">
        <v>143</v>
      </c>
      <c r="S4" s="58" t="s">
        <v>144</v>
      </c>
      <c r="T4" s="58" t="s">
        <v>45</v>
      </c>
      <c r="U4" s="85"/>
    </row>
    <row r="5" spans="1:21" ht="15">
      <c r="A5" s="33">
        <v>1</v>
      </c>
      <c r="B5" s="2" t="str">
        <f>VLOOKUP($A5,CIERRE!$B:$E,2,FALSE)</f>
        <v>JULIAN ANDRES GOMEZ RAMIREZ</v>
      </c>
      <c r="C5" s="33" t="str">
        <f>+VLOOKUP($A5,'CAPACIDAD JURIDICA'!$A:$AQ,42,FALSE)</f>
        <v>SUBSANAR</v>
      </c>
      <c r="D5" s="33" t="str">
        <f>+VLOOKUP($A5,'CAPACIDAD FINANCIERA'!$A$2:$V$7,19,FALSE)</f>
        <v>SUBSANAR</v>
      </c>
      <c r="E5" s="33" t="str">
        <f>+VLOOKUP($A5,'CAPACIDAD FINANCIERA'!$A$2:$V$7,20,FALSE)</f>
        <v>SUBSANAR</v>
      </c>
      <c r="F5" s="33" t="str">
        <f>+VLOOKUP($A5,'CAPACIDAD FINANCIERA'!$A:$V,21,FALSE)</f>
        <v>SUBSANAR</v>
      </c>
      <c r="G5" s="33" t="s">
        <v>67</v>
      </c>
      <c r="H5" s="33" t="s">
        <v>69</v>
      </c>
      <c r="I5" s="14"/>
      <c r="J5" s="14"/>
      <c r="K5" s="42"/>
      <c r="L5" s="42"/>
      <c r="M5" s="42"/>
      <c r="N5" s="2"/>
      <c r="O5" s="33" t="s">
        <v>67</v>
      </c>
      <c r="P5" s="33" t="s">
        <v>69</v>
      </c>
      <c r="Q5" s="33">
        <v>10</v>
      </c>
      <c r="R5" s="33">
        <v>20</v>
      </c>
      <c r="S5" s="33">
        <v>20</v>
      </c>
      <c r="T5" s="33">
        <v>0</v>
      </c>
      <c r="U5" s="2"/>
    </row>
    <row r="6" spans="1:21" ht="15">
      <c r="A6" s="33">
        <v>2</v>
      </c>
      <c r="B6" s="2" t="str">
        <f>VLOOKUP($A6,CIERRE!$B:$E,2,FALSE)</f>
        <v>BIOSERVICIOS S.A.S.</v>
      </c>
      <c r="C6" s="33" t="str">
        <f>+VLOOKUP($A6,'CAPACIDAD JURIDICA'!$A:$AQ,42,FALSE)</f>
        <v>HABIL</v>
      </c>
      <c r="D6" s="33" t="str">
        <f>+VLOOKUP($A6,'CAPACIDAD FINANCIERA'!$A$2:$V$7,19,FALSE)</f>
        <v>HABIL</v>
      </c>
      <c r="E6" s="33" t="str">
        <f>+VLOOKUP($A6,'CAPACIDAD FINANCIERA'!$A$2:$V$7,20,FALSE)</f>
        <v>HABIL</v>
      </c>
      <c r="F6" s="33" t="str">
        <f>+VLOOKUP($A6,'CAPACIDAD FINANCIERA'!$A:$V,21,FALSE)</f>
        <v>SUBSANAR</v>
      </c>
      <c r="G6" s="33" t="s">
        <v>67</v>
      </c>
      <c r="H6" s="33" t="s">
        <v>67</v>
      </c>
      <c r="I6" s="14"/>
      <c r="J6" s="14"/>
      <c r="K6" s="42"/>
      <c r="L6" s="42"/>
      <c r="M6" s="42"/>
      <c r="N6" s="2"/>
      <c r="O6" s="33" t="s">
        <v>67</v>
      </c>
      <c r="P6" s="33" t="s">
        <v>67</v>
      </c>
      <c r="Q6" s="33">
        <v>10</v>
      </c>
      <c r="R6" s="33">
        <v>20</v>
      </c>
      <c r="S6" s="33">
        <v>20</v>
      </c>
      <c r="T6" s="33">
        <v>0.25</v>
      </c>
      <c r="U6" s="2"/>
    </row>
    <row r="7" spans="1:21" ht="15">
      <c r="A7" s="33">
        <v>3</v>
      </c>
      <c r="B7" s="9" t="str">
        <f>VLOOKUP($A7,CIERRE!$B:$E,2,FALSE)</f>
        <v>INGEVIAL PYM S.A.S.</v>
      </c>
      <c r="C7" s="33" t="str">
        <f>+VLOOKUP($A7,'CAPACIDAD JURIDICA'!$A:$AQ,42,FALSE)</f>
        <v>SUBSANAR</v>
      </c>
      <c r="D7" s="33" t="str">
        <f>+VLOOKUP($A7,'CAPACIDAD FINANCIERA'!$A$2:$V$7,19,FALSE)</f>
        <v>SUBSANAR</v>
      </c>
      <c r="E7" s="33" t="str">
        <f>+VLOOKUP($A7,'CAPACIDAD FINANCIERA'!$A$2:$V$7,20,FALSE)</f>
        <v>SUBSANAR</v>
      </c>
      <c r="F7" s="33" t="str">
        <f>+VLOOKUP($A7,'CAPACIDAD FINANCIERA'!$A:$V,21,FALSE)</f>
        <v>SUBSANAR</v>
      </c>
      <c r="G7" s="33" t="s">
        <v>67</v>
      </c>
      <c r="H7" s="33" t="s">
        <v>67</v>
      </c>
      <c r="I7" s="14"/>
      <c r="J7" s="14"/>
      <c r="K7" s="42"/>
      <c r="L7" s="42"/>
      <c r="M7" s="42"/>
      <c r="N7" s="3"/>
      <c r="O7" s="33" t="s">
        <v>67</v>
      </c>
      <c r="P7" s="33" t="s">
        <v>67</v>
      </c>
      <c r="Q7" s="33">
        <v>10</v>
      </c>
      <c r="R7" s="33">
        <v>20</v>
      </c>
      <c r="S7" s="33">
        <v>20</v>
      </c>
      <c r="T7" s="33">
        <v>0.25</v>
      </c>
      <c r="U7" s="2"/>
    </row>
    <row r="8" spans="1:21" ht="15">
      <c r="A8" s="33">
        <v>4</v>
      </c>
      <c r="B8" s="9" t="str">
        <f>VLOOKUP($A8,CIERRE!$B:$E,2,FALSE)</f>
        <v>GRUPO YACAR INGENIERIA S.A.S</v>
      </c>
      <c r="C8" s="33" t="str">
        <f>+VLOOKUP($A8,'CAPACIDAD JURIDICA'!$A:$AQ,42,FALSE)</f>
        <v>HABIL</v>
      </c>
      <c r="D8" s="33" t="str">
        <f>+VLOOKUP($A8,'CAPACIDAD FINANCIERA'!$A$2:$V$7,19,FALSE)</f>
        <v>HABIL</v>
      </c>
      <c r="E8" s="33" t="str">
        <f>+VLOOKUP($A8,'CAPACIDAD FINANCIERA'!$A$2:$V$7,20,FALSE)</f>
        <v>HABIL</v>
      </c>
      <c r="F8" s="33" t="str">
        <f>+VLOOKUP($A8,'CAPACIDAD FINANCIERA'!$A:$V,21,FALSE)</f>
        <v>HABIL</v>
      </c>
      <c r="G8" s="33" t="s">
        <v>69</v>
      </c>
      <c r="H8" s="33" t="s">
        <v>69</v>
      </c>
      <c r="I8" s="14"/>
      <c r="J8" s="14"/>
      <c r="K8" s="42"/>
      <c r="L8" s="42"/>
      <c r="M8" s="42"/>
      <c r="N8" s="3"/>
      <c r="O8" s="33" t="s">
        <v>67</v>
      </c>
      <c r="P8" s="33" t="s">
        <v>69</v>
      </c>
      <c r="Q8" s="33">
        <v>10</v>
      </c>
      <c r="R8" s="33">
        <v>20</v>
      </c>
      <c r="S8" s="33">
        <v>20</v>
      </c>
      <c r="T8" s="33">
        <v>0.25</v>
      </c>
      <c r="U8" s="2"/>
    </row>
  </sheetData>
  <mergeCells count="16">
    <mergeCell ref="K3:M3"/>
    <mergeCell ref="F3:F4"/>
    <mergeCell ref="A3:A4"/>
    <mergeCell ref="B3:B4"/>
    <mergeCell ref="C3:C4"/>
    <mergeCell ref="D3:D4"/>
    <mergeCell ref="E3:E4"/>
    <mergeCell ref="G3:G4"/>
    <mergeCell ref="H3:H4"/>
    <mergeCell ref="I3:I4"/>
    <mergeCell ref="J3:J4"/>
    <mergeCell ref="P3:P4"/>
    <mergeCell ref="Q3:T3"/>
    <mergeCell ref="U3:U4"/>
    <mergeCell ref="O3:O4"/>
    <mergeCell ref="N3:N4"/>
  </mergeCells>
  <conditionalFormatting sqref="C5:J1506">
    <cfRule type="cellIs" dxfId="8" priority="7" operator="equal">
      <formula>"SUBSANAR"</formula>
    </cfRule>
    <cfRule type="cellIs" dxfId="7" priority="8" operator="equal">
      <formula>"NO HABIL"</formula>
    </cfRule>
    <cfRule type="cellIs" dxfId="6" priority="9" operator="equal">
      <formula>"HABIL"</formula>
    </cfRule>
  </conditionalFormatting>
  <conditionalFormatting sqref="J5:J8">
    <cfRule type="cellIs" dxfId="5" priority="45" operator="equal">
      <formula>"SUBSANAR"</formula>
    </cfRule>
    <cfRule type="cellIs" dxfId="4" priority="46" operator="equal">
      <formula>"NO HABIL"</formula>
    </cfRule>
    <cfRule type="cellIs" dxfId="3" priority="47" operator="equal">
      <formula>"HABIL"</formula>
    </cfRule>
  </conditionalFormatting>
  <conditionalFormatting sqref="O5:P8">
    <cfRule type="cellIs" dxfId="2" priority="1" operator="equal">
      <formula>"SUBSANAR"</formula>
    </cfRule>
    <cfRule type="cellIs" dxfId="1" priority="2" operator="equal">
      <formula>"NO HABIL"</formula>
    </cfRule>
    <cfRule type="cellIs" dxfId="0" priority="3" operator="equal">
      <formula>"HABIL"</formula>
    </cfRule>
  </conditionalFormatting>
  <pageMargins left="0.7" right="0.7" top="0.75" bottom="0.75" header="0.3" footer="0.3"/>
  <pageSetup orientation="portrait" horizontalDpi="4294967293" vertic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CF096568-AA0E-4A63-9FF8-69777CA79D9B}">
          <x14:formula1>
            <xm:f>SMMLV!$I$3:$I$5</xm:f>
          </x14:formula1>
          <xm:sqref>G5:J8 O5:P8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SMMLV</vt:lpstr>
      <vt:lpstr>INFORMACION</vt:lpstr>
      <vt:lpstr>CIERRE</vt:lpstr>
      <vt:lpstr>CAPACIDAD JURIDICA</vt:lpstr>
      <vt:lpstr>CAPACIDAD FINANCIERA</vt:lpstr>
      <vt:lpstr>EXPERIENCIA</vt:lpstr>
      <vt:lpstr>RESUMEN CALIFICACION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Jhons Stiven Cortés González</dc:creator>
  <cp:lastModifiedBy>Laura Murillo</cp:lastModifiedBy>
  <cp:lastPrinted>2026-02-25T16:37:53Z</cp:lastPrinted>
  <dcterms:created xsi:type="dcterms:W3CDTF">2024-08-18T15:37:01Z</dcterms:created>
  <dcterms:modified xsi:type="dcterms:W3CDTF">2026-02-25T16:38:09Z</dcterms:modified>
</cp:coreProperties>
</file>