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ficaldas365-my.sharepoint.com/personal/jhons_cortes_infi_gov_co/Documents/Escritorio/INFICALDAS/2026/1. CONTRATACION/0. EVALUACIONES/3. SA-0001-2026 PODA AEROPUERTO/4 EVALUACION FINAL/"/>
    </mc:Choice>
  </mc:AlternateContent>
  <xr:revisionPtr revIDLastSave="2203" documentId="13_ncr:1_{28C9AAE8-20AE-4C18-B056-78A27649C360}" xr6:coauthVersionLast="47" xr6:coauthVersionMax="47" xr10:uidLastSave="{CE220DDE-DD24-4460-AF2B-C2E9BEB0C649}"/>
  <bookViews>
    <workbookView xWindow="-120" yWindow="-120" windowWidth="20730" windowHeight="11040" tabRatio="862" firstSheet="1" activeTab="6" xr2:uid="{389C0B21-EA9C-4267-8D6E-79D2E27110C1}"/>
  </bookViews>
  <sheets>
    <sheet name="SMMLV" sheetId="5" state="hidden" r:id="rId1"/>
    <sheet name="INFORMACION" sheetId="1" r:id="rId2"/>
    <sheet name="CIERRE" sheetId="2" r:id="rId3"/>
    <sheet name="CAPACIDAD JURIDICA" sheetId="7" r:id="rId4"/>
    <sheet name="CAPACIDAD FINANCIERA" sheetId="6" r:id="rId5"/>
    <sheet name="EXPERIENCIA" sheetId="3" r:id="rId6"/>
    <sheet name="RESUMEN CALIFICACION" sheetId="4"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7" i="6" l="1"/>
  <c r="P7" i="6"/>
  <c r="Q7" i="6" s="1"/>
  <c r="O7" i="6"/>
  <c r="N7" i="6"/>
  <c r="M7" i="6"/>
  <c r="L7" i="6"/>
  <c r="R6" i="6"/>
  <c r="P6" i="6"/>
  <c r="Q6" i="6" s="1"/>
  <c r="O6" i="6"/>
  <c r="N6" i="6"/>
  <c r="M6" i="6"/>
  <c r="L6" i="6"/>
  <c r="R5" i="6"/>
  <c r="P5" i="6"/>
  <c r="Q5" i="6" s="1"/>
  <c r="O5" i="6"/>
  <c r="N5" i="6"/>
  <c r="M5" i="6"/>
  <c r="L5" i="6"/>
  <c r="R4" i="6"/>
  <c r="P4" i="6"/>
  <c r="Q4" i="6" s="1"/>
  <c r="O4" i="6"/>
  <c r="N4" i="6"/>
  <c r="M4" i="6"/>
  <c r="L4" i="6"/>
  <c r="D5" i="1" l="1"/>
  <c r="E6" i="4" l="1"/>
  <c r="E7" i="4"/>
  <c r="E8" i="4"/>
  <c r="E5" i="4"/>
  <c r="D6" i="4"/>
  <c r="D7" i="4"/>
  <c r="D8" i="4"/>
  <c r="D5" i="4"/>
  <c r="C5" i="4"/>
  <c r="F8" i="4"/>
  <c r="C8" i="4"/>
  <c r="B8" i="4"/>
  <c r="B7" i="6"/>
  <c r="AE1" i="7"/>
  <c r="B5" i="7"/>
  <c r="B6" i="7"/>
  <c r="B7" i="7"/>
  <c r="C21" i="1"/>
  <c r="C22" i="1" s="1"/>
  <c r="C14" i="1"/>
  <c r="B4" i="7"/>
  <c r="B5" i="6"/>
  <c r="B6" i="6"/>
  <c r="M7" i="3"/>
  <c r="N7" i="3" s="1"/>
  <c r="M8" i="3"/>
  <c r="N8" i="3" s="1"/>
  <c r="K7" i="3"/>
  <c r="J7" i="3"/>
  <c r="J8" i="3"/>
  <c r="K8" i="3" s="1"/>
  <c r="B7" i="3"/>
  <c r="B8" i="3"/>
  <c r="M12" i="3"/>
  <c r="N12" i="3" s="1"/>
  <c r="J12" i="3"/>
  <c r="K12" i="3" s="1"/>
  <c r="B12" i="3"/>
  <c r="O12" i="3" l="1"/>
  <c r="O8" i="3"/>
  <c r="O7" i="3"/>
  <c r="F6" i="4"/>
  <c r="F7" i="4"/>
  <c r="F5" i="4"/>
  <c r="C6" i="4"/>
  <c r="C7" i="4"/>
  <c r="B6" i="4"/>
  <c r="B7" i="4"/>
  <c r="M5" i="3"/>
  <c r="N5" i="3" s="1"/>
  <c r="O5" i="3" s="1"/>
  <c r="M6" i="3"/>
  <c r="N6" i="3" s="1"/>
  <c r="O6" i="3" s="1"/>
  <c r="M9" i="3"/>
  <c r="N9" i="3" s="1"/>
  <c r="O9" i="3" s="1"/>
  <c r="M10" i="3"/>
  <c r="M11" i="3"/>
  <c r="N11" i="3" s="1"/>
  <c r="O11" i="3" s="1"/>
  <c r="M13" i="3"/>
  <c r="N13" i="3" s="1"/>
  <c r="O13" i="3" s="1"/>
  <c r="B6" i="3"/>
  <c r="B9" i="3"/>
  <c r="B10" i="3"/>
  <c r="B11" i="3"/>
  <c r="B13" i="3"/>
  <c r="B4" i="6"/>
  <c r="N10" i="3" l="1"/>
  <c r="O10" i="3" s="1"/>
  <c r="G5" i="2"/>
  <c r="G6" i="2"/>
  <c r="L1" i="6"/>
  <c r="B5" i="4"/>
  <c r="M4" i="3"/>
  <c r="N4" i="3" s="1"/>
  <c r="O4" i="3" s="1"/>
  <c r="AC5" i="3"/>
  <c r="AD5" i="3"/>
  <c r="AE5" i="3"/>
  <c r="AF5" i="3"/>
  <c r="AC6" i="3"/>
  <c r="AD6" i="3"/>
  <c r="AE6" i="3"/>
  <c r="AF6" i="3"/>
  <c r="AC9" i="3"/>
  <c r="AD9" i="3"/>
  <c r="AE9" i="3"/>
  <c r="AF9" i="3"/>
  <c r="AC10" i="3"/>
  <c r="AD10" i="3"/>
  <c r="AE10" i="3"/>
  <c r="AF10" i="3"/>
  <c r="AC11" i="3"/>
  <c r="AD11" i="3"/>
  <c r="AE11" i="3"/>
  <c r="AF11" i="3"/>
  <c r="AC13" i="3"/>
  <c r="AD13" i="3"/>
  <c r="AE13" i="3"/>
  <c r="AF13" i="3"/>
  <c r="AF4" i="3"/>
  <c r="AC4" i="3"/>
  <c r="AE4" i="3"/>
  <c r="AD4" i="3"/>
  <c r="B5" i="3"/>
  <c r="B4" i="3"/>
  <c r="J13" i="3" l="1"/>
  <c r="K13" i="3" s="1"/>
  <c r="J11" i="3"/>
  <c r="K11" i="3" s="1"/>
  <c r="J9" i="3"/>
  <c r="K9" i="3" s="1"/>
  <c r="J5" i="3"/>
  <c r="K5" i="3" s="1"/>
  <c r="J10" i="3"/>
  <c r="K10" i="3" s="1"/>
  <c r="J6" i="3"/>
  <c r="K6" i="3" s="1"/>
  <c r="G4" i="2"/>
  <c r="J4" i="3"/>
  <c r="K4" i="3" s="1"/>
</calcChain>
</file>

<file path=xl/sharedStrings.xml><?xml version="1.0" encoding="utf-8"?>
<sst xmlns="http://schemas.openxmlformats.org/spreadsheetml/2006/main" count="401" uniqueCount="177">
  <si>
    <t>Objeto</t>
  </si>
  <si>
    <t>Presupuesto Oficial</t>
  </si>
  <si>
    <t>Plazo (Meses)</t>
  </si>
  <si>
    <t>Apertura del Proceso</t>
  </si>
  <si>
    <t>Cierre del proceso</t>
  </si>
  <si>
    <t>INFORMACIÓN GENERAL</t>
  </si>
  <si>
    <t>Número del proceso</t>
  </si>
  <si>
    <t>CRITERIOS DE CALIFICACIÓN DE LA EXPERIENCIA</t>
  </si>
  <si>
    <t>Presupuesto Oficial SMMLV</t>
  </si>
  <si>
    <t>EXPERIENCIA GENERAL</t>
  </si>
  <si>
    <t>REPRESENTANTE LEGAL</t>
  </si>
  <si>
    <t>No.</t>
  </si>
  <si>
    <t>PROPONENTE</t>
  </si>
  <si>
    <t>%</t>
  </si>
  <si>
    <t>CONFORMACION CONSORCIO</t>
  </si>
  <si>
    <t>N/A</t>
  </si>
  <si>
    <t>NOMBRE</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</si>
  <si>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</si>
  <si>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</si>
  <si>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</si>
  <si>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</si>
  <si>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</si>
  <si>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</si>
  <si>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</si>
  <si>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</si>
  <si>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</si>
  <si>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</si>
  <si>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</si>
  <si>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OBSERVACIONES</t>
  </si>
  <si>
    <t>SUSPENSIÓN 1</t>
  </si>
  <si>
    <t>SUSPENSIÓN 2</t>
  </si>
  <si>
    <t>SUSPENSIÓN 3</t>
  </si>
  <si>
    <t>SUSPENSIÓN 4</t>
  </si>
  <si>
    <t>AÑO</t>
  </si>
  <si>
    <t>VALOR SMMLV</t>
  </si>
  <si>
    <t xml:space="preserve">EXPERIENCIA ESPECÍFICA 1 
POR VALOR </t>
  </si>
  <si>
    <t>Proponente</t>
  </si>
  <si>
    <t>CALIFICACIÓN JURIDICA</t>
  </si>
  <si>
    <t>CALIFICACIÓN FINANCIERA</t>
  </si>
  <si>
    <t>CALIFICACIÓN ORGANIZACIONAL</t>
  </si>
  <si>
    <t>CAPACIDAD RESIDUAL DE CONTRATACIÓN</t>
  </si>
  <si>
    <t>EXPERIENCIA GENERAL
VTE</t>
  </si>
  <si>
    <t>PORCENTAJE DE PARTICIPACIÓN EN PROPONENTE PLURAL</t>
  </si>
  <si>
    <t>CALIFICACIÓN TÉCNICA</t>
  </si>
  <si>
    <t>FACTORES DE COMPARACIÓN DE LAS PROPUESTAS</t>
  </si>
  <si>
    <t>Emprendimientos y empresas de mujeres
(0.25)</t>
  </si>
  <si>
    <t>Conformación consorcial</t>
  </si>
  <si>
    <t>% participación</t>
  </si>
  <si>
    <t>Certificación MIPYME</t>
  </si>
  <si>
    <t>Informacion Financiera</t>
  </si>
  <si>
    <t>CAPACIDAD FINANCIERA</t>
  </si>
  <si>
    <t>CAPACIDAD ORGANIZACIONAL</t>
  </si>
  <si>
    <t>CAPACIDAD RESIDUAL</t>
  </si>
  <si>
    <t>Observaciones</t>
  </si>
  <si>
    <t>Activo Corriente</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</si>
  <si>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</si>
  <si>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</si>
  <si>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</si>
  <si>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</si>
  <si>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</si>
  <si>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</si>
  <si>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</si>
  <si>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</si>
  <si>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</si>
  <si>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</si>
  <si>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</si>
  <si>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</si>
  <si>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HABIL</t>
  </si>
  <si>
    <t>NO HABIL</t>
  </si>
  <si>
    <t>SUBSANAR</t>
  </si>
  <si>
    <t>CUMPLE</t>
  </si>
  <si>
    <t>NO CUMPLE</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</si>
  <si>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</si>
  <si>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</si>
  <si>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</si>
  <si>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</si>
  <si>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</si>
  <si>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</si>
  <si>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</si>
  <si>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PRESENTA</t>
  </si>
  <si>
    <t>INGENIERO QUE AVALA LA PROPUESTA
(Nombre)
Si es el mismo representante legal, repetir nombre</t>
  </si>
  <si>
    <t>MATRICULA PROFESIONAL
(No. de la Tarjeta)</t>
  </si>
  <si>
    <t>CERTIFICADO COPNIA
(Presenta/no presenta)</t>
  </si>
  <si>
    <t>VIGENCIA CERTIFICADO
(Fecha Expedición)</t>
  </si>
  <si>
    <t xml:space="preserve">PRESENTA </t>
  </si>
  <si>
    <t>TIPO (C/UT/I)</t>
  </si>
  <si>
    <t>DURACION
(CUMPLE / NO CUMPLE)</t>
  </si>
  <si>
    <t>% PARTICIPACIÓN</t>
  </si>
  <si>
    <t>FECHA DE EXPEDICIÓN</t>
  </si>
  <si>
    <t>DOMICILIO
(Ciudad)</t>
  </si>
  <si>
    <t>OBJETO SOCIAL</t>
  </si>
  <si>
    <t>DURACIÓN DE LA SOCIEDAD</t>
  </si>
  <si>
    <t>LIMITACIONES AL REPRESENTANTE LEGAL</t>
  </si>
  <si>
    <t>AUTORIZACIÓN DEL ORGANO SOCIAL</t>
  </si>
  <si>
    <t>NOMBRAMIENTO DEL REVISOR FISCAL</t>
  </si>
  <si>
    <t>FOTOCOPIA CÉDULA DEL REPRESENTANTE LEGAL</t>
  </si>
  <si>
    <t>FECHA DE EXPEDICIÓN
(dd/mm/aaaa)</t>
  </si>
  <si>
    <t>SANCIONES CONSIGNADAS EN EL RUP</t>
  </si>
  <si>
    <t>RENOVADO</t>
  </si>
  <si>
    <t>FIRMEZA RUP</t>
  </si>
  <si>
    <t>TOMADOR</t>
  </si>
  <si>
    <t>VIGENCIA
(HASTA)
(DD/MM/AAAA)</t>
  </si>
  <si>
    <t>VALOR (10% DEL LOTE DE MAYOR VALOR AL QUE SE PRESENTA)
($)</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</si>
  <si>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</si>
  <si>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</si>
  <si>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</si>
  <si>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</si>
  <si>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</si>
  <si>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COPIA TARJETA PROFESIONAL CONTADOR O REVISOR FISCAL</t>
  </si>
  <si>
    <t>ANTECEDENTES DISCIPLINARIOS JCC</t>
  </si>
  <si>
    <t>CERTIFICADO REDAM</t>
  </si>
  <si>
    <t>BENEFICIARIO INFICALDAS</t>
  </si>
  <si>
    <t>NO PRESENTA</t>
  </si>
  <si>
    <t>C</t>
  </si>
  <si>
    <t>UT</t>
  </si>
  <si>
    <t>I</t>
  </si>
  <si>
    <t>CONSULTADO ENTIDAD</t>
  </si>
  <si>
    <t>REQUISITOS FINANCIEROS HABILITANTES</t>
  </si>
  <si>
    <t>Razón cobertura de intereses
Utilidad operacional/gastos de intereses ≥ 1.0</t>
  </si>
  <si>
    <t>REQUISITOS ORGANIZACIONALES HABILITANTES</t>
  </si>
  <si>
    <t>PACTO DE TRANSPARENCIA</t>
  </si>
  <si>
    <t>Apoyo a la industria nacional
(20)</t>
  </si>
  <si>
    <t xml:space="preserve">EXPERIENCIA ESPECÍFICA 1
POR VALOR </t>
  </si>
  <si>
    <t>Liquidez
Activo corriente/Pasivo Corriente ≥ 1.2</t>
  </si>
  <si>
    <t>Nivel de endeudamiento
Pasivo Total/Activo Total ≤ 0.70</t>
  </si>
  <si>
    <t>Rentabilidad del patrimonio (ROE)
Utilidad operacional/Patrimonio ≥ 0,02</t>
  </si>
  <si>
    <t>Rentabilidad del activo (ROA)
Utilidad operacional/Activo total ≥ 0,01</t>
  </si>
  <si>
    <t>OBRAS DE CONSTRUCCIÓN O CONFORMACIÓN O ADECUACIÓN O NIVELACIÓN O CONSERVACION O MANTENIMIENTO DE: FRANJAS DE SEGURIDAD O CANALES O DRENAJES.</t>
  </si>
  <si>
    <t>30% Presupuesto Oficial SMMLV</t>
  </si>
  <si>
    <t>El valor del contrato en SMMLV de UNO (1) de los contratos válidos aportados para la acreditación de la experiencia general, deberá ser igual o mayor al 30% del valor del PRESUPUESTO OFICIAL (PO) del presente Proceso de Contratación.
Por lo menos uno (1) de los contratos válidos aportados como experiencia general deberá acreditar la CONSTRUCCION O CONFORMACION O ADECUACION O MANTENIMIENTO O NIVELACIÓN DE: FRANJAS DE SEGURIDAD O ROCERIAS DE FRANJAS DE SEGURIDAD.</t>
  </si>
  <si>
    <t>EXPERIENCIA ESPECIFICA</t>
  </si>
  <si>
    <t>BIOSERVICIOS S.A.S.</t>
  </si>
  <si>
    <t>INGEVIAL PYM S.A.S.</t>
  </si>
  <si>
    <t>FLOR MARIA OROZCO PUERTA</t>
  </si>
  <si>
    <t>Factor de Calidad
(30)</t>
  </si>
  <si>
    <t>INFI S.A001-2026</t>
  </si>
  <si>
    <t>Realizar el mantenimiento de las zonas verdes, poda y limpieza del cerramiento perimetral, jardines, canales de drenajes de aguas lluvias y servicios generales en el aeropuerto La Nubia de Manizales, Caldas</t>
  </si>
  <si>
    <t>Capital de trabajo
CT = AC - PC ≥ CTd</t>
  </si>
  <si>
    <t>JULIAN ANDRES GOMEZ RAMIREZ</t>
  </si>
  <si>
    <t xml:space="preserve">VICTOR HUGO URIBE CANO </t>
  </si>
  <si>
    <t>GRUPO YACAR INGENIERIA S.A.S</t>
  </si>
  <si>
    <t>CARLOS ARTURO JIMENEZ ALVARADO</t>
  </si>
  <si>
    <t>Plan de Calidad
(10)</t>
  </si>
  <si>
    <t>Criterios ambientales y sociales (20)</t>
  </si>
  <si>
    <t>Promoción a la industria nacional
(20)</t>
  </si>
  <si>
    <t>CORPOCALDAS</t>
  </si>
  <si>
    <t>197-2017</t>
  </si>
  <si>
    <t>047-2010</t>
  </si>
  <si>
    <t>VICTOR HUGO URIBE CANO</t>
  </si>
  <si>
    <t>CHEC SA ESP</t>
  </si>
  <si>
    <t>INFICALDAS</t>
  </si>
  <si>
    <t>CT 2015 000125</t>
  </si>
  <si>
    <t>AA 11 - 2019</t>
  </si>
  <si>
    <t>AA 10 - 2020</t>
  </si>
  <si>
    <t>AA 22 - 2024</t>
  </si>
  <si>
    <t>GOBERNACION DE ANTIOQUIA</t>
  </si>
  <si>
    <t>FONDO DE VALORIZACION DEL MUNICIPIO DE MEDELLIN</t>
  </si>
  <si>
    <t>MINISTERIO DE DEFENSA NACIONAL - FUERZA AEREA COLOMBIANA</t>
  </si>
  <si>
    <t>2014-00251</t>
  </si>
  <si>
    <t>048-00-A-COFAC-DINSA-2016</t>
  </si>
  <si>
    <t>193-2017</t>
  </si>
  <si>
    <t>ARTURO JURADO ALVARAN</t>
  </si>
  <si>
    <t>JULIAN ANDRÉZ GÓMEZ RAMÍREZ</t>
  </si>
  <si>
    <t>17202091360CLD</t>
  </si>
  <si>
    <t>JULIAN ADNRÉS GÓMEZ RAMÍRE</t>
  </si>
  <si>
    <t>JHON JAMES OROCO MARULANDA</t>
  </si>
  <si>
    <t>17202770454CLD</t>
  </si>
  <si>
    <t>MANIZALES</t>
  </si>
  <si>
    <t>BIOSERVICIOS S.A.S</t>
  </si>
  <si>
    <t>ALEXANDER GARCÍA OROZCO</t>
  </si>
  <si>
    <t>091037-0755809 CND</t>
  </si>
  <si>
    <t>INGEVIAL PYM S.A.S</t>
  </si>
  <si>
    <t>17202098960CLD</t>
  </si>
  <si>
    <t>SUBSANA</t>
  </si>
  <si>
    <t>El proponente subsano</t>
  </si>
  <si>
    <r>
      <t>El proponente se declara NO HABIL en la capacidad residual, teniendo en cuenta que el proponente no reporto en el formato de contratos en ejecucion para el calculo de la capacidad residual esto teniendo en cuenta que el pliego de condiciones dispone lo siguiente:
"</t>
    </r>
    <r>
      <rPr>
        <b/>
        <sz val="11"/>
        <color theme="1"/>
        <rFont val="Aptos Narrow"/>
        <family val="2"/>
        <scheme val="minor"/>
      </rPr>
      <t xml:space="preserve">3.10	CAPACIDAD RESIDUAL </t>
    </r>
    <r>
      <rPr>
        <sz val="11"/>
        <color theme="1"/>
        <rFont val="Aptos Narrow"/>
        <family val="2"/>
        <scheme val="minor"/>
      </rPr>
      <t xml:space="preserve">
El proponente será hábil si su capacidad residual es mayor o igual a la capacidad residual de proceso de contratación (CRPC). Así: 
CRP ≥CRPC
Los proponentes acreditarán la capacidad residual o K de contratación conforme se describe a continuación. En todo caso, si con posterioridad al cierre del proceso cualquier interesado, durante el traslado del informe de evaluación, o la entidad, en uso de la potestad verificadora, advierte que se dejó de incluir, al cierre del proceso, por parte de un proponente, alguna información contractual que afecte su capacidad residual, la entidad rechazará la oferta.
Lo anterior, sin perjuicio de las acciones administrativas y/o judiciales a que haya lugar, en contra de la (s) persona (s) que haya (n) suscrito las certificaciones exigidas para el cálculo de la capacidad residual.
Por otro lado en el numeral 1,15 causales de rechazo del pliego de condiciones dispone lo siguiente "1.15	CAUSALES DE RECHAZO  (...) Y.	No informar todos los contratos que el proponente tenga en ejecución antes del cierre, necesarios para acreditar su capacidad residual conforme a la sección 3.10."</t>
    </r>
  </si>
  <si>
    <t xml:space="preserve">El contrato aportado no cumple con el numeral 3.5.2 “CARACTERÍSTICAS DE LOS CONTRATOS PRESENTADOS PARA ACREDITAR LA EXPERIENCIA EXIGIDA”. El contrato aportado para efectos de acreditación de la ejecución de experiencia especifica (Por lo menos uno (1) de los contratos válidos aportados como experiencia general deberá acreditar la CONSTRUCCION O CONFORMACION O ADECUACION O MANTENIMIENTO O NIVELACIÓN DE: FRANJAS DE SEGURIDAD O ROCERIAS DE FRANJAS DE SEGURIDAD.). No cumple
Es importante tener en cuenta que el proyecto en cuestión se trata de un mantenimiento de franjas de seguridad o rocerías de franjas de seguridad de aeropuertos, lo que implica la necesidad de contar con experiencia específica que garantice la ejecución eficiente y segura de las labores requeridas. La experiencia previa en proyectos similares es esencial para asegurar que las tareas de mantenimiento se realicen de manera adecuada, minimizando los riesgos y garantizando la calidad del trabajo realizado.
Dentro de la experiencia especifica se exige experiencia en franjas de seguridad de aeropuertos, por lo anterior se debe de tener en cuenta la definición de una franja de seguridad que de acuerdo con el documento denominado “Anexo3 Glosario Sel.Abrev. Menor cuantia transporte”, el cual hace parte del proceso de selección, en el numeral 2 GLOSARIO ESPECÍFICO TÉCNICO, menciona lo siguiente:
“2. GLOSARIO ESPECÍFICO TÉCNICO
(…) 
2.73	Franja de Seguridad (franja de pista): Superficie definida que comprende la pista y la zona de parada, si la hubiese, destinada a: a) reducir el riesgo de daños a las aeronaves que se salgan de la pista; y b) proteger a las aeronaves que la sobrevuelan durante las operaciones de despegue o aterrizaje.”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</si>
</sst>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_);_(* \(#,##0.00\);_(* &quot;-&quot;??_);_(@_)"/>
    <numFmt numFmtId="165" formatCode="0.000"/>
    <numFmt numFmtId="166" formatCode="0.0%"/>
    <numFmt numFmtId="167" formatCode="_-&quot;$&quot;* #,##0_-;\-&quot;$&quot;* #,##0_-;_-&quot;$&quot;* &quot;-&quot;_-;_-@"/>
  </numFmts>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0"/>
      <name val="Aptos Narrow"/>
      <family val="2"/>
      <scheme val="minor"/>
    </font>
    <font>
      <b/>
      <sz val="12"/>
      <color theme="1"/>
      <name val="Arial"/>
      <family val="2"/>
    </font>
    <font>
      <sz val="10"/>
      <name val="Arial"/>
      <family val="2"/>
    </font>
    <font>
      <b/>
      <sz val="10"/>
      <color theme="1"/>
      <name val="Arial"/>
      <family val="2"/>
    </font>
    <font>
      <sz val="10"/>
      <color theme="1"/>
      <name val="Arial"/>
      <family val="2"/>
    </font>
    <font>
      <b/>
      <sz val="11"/>
      <name val="Aptos Narrow"/>
      <family val="2"/>
      <scheme val="minor"/>
    </font>
    <font>
      <sz val="8"/>
      <name val="Aptos Narrow"/>
      <family val="2"/>
      <scheme val="minor"/>
    </font>
    <font>
      <b/>
      <sz val="9"/>
      <color theme="1"/>
      <name val="Arial"/>
      <family val="2"/>
    </font>
    <font>
      <sz val="9"/>
      <color theme="1"/>
      <name val="Arial"/>
      <family val="2"/>
    </font>
    <font>
      <b/>
      <sz val="10"/>
      <color rgb="FF000000"/>
      <name val="Calibri"/>
      <family val="2"/>
    </font>
    <font>
      <b/>
      <sz val="10"/>
      <color theme="1"/>
      <name val="Calibri"/>
      <family val="2"/>
    </font>
    <font>
      <b/>
      <sz val="10"/>
      <name val="Arial"/>
      <family val="2"/>
    </font>
  </fonts>
  <fills count="6">
    <fill>
      <patternFill patternType="none"/>
    </fill>
    <fill>
      <patternFill patternType="gray125"/>
    </fill>
    <fill>
      <patternFill patternType="solid">
        <fgColor rgb="FFBFBFBF"/>
        <bgColor rgb="FFBFBFBF"/>
      </patternFill>
    </fill>
    <fill>
      <patternFill patternType="solid">
        <fgColor theme="0" tint="-0.14999847407452621"/>
        <bgColor indexed="64"/>
      </patternFill>
    </fill>
    <fill>
      <patternFill patternType="solid">
        <fgColor rgb="FFFFFF00"/>
        <bgColor indexed="64"/>
      </patternFill>
    </fill>
    <fill>
      <patternFill patternType="solid">
        <fgColor theme="5"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9">
    <xf numFmtId="0" fontId="0" fillId="0" borderId="0" xfId="0"/>
    <xf numFmtId="0" fontId="2" fillId="0" borderId="1" xfId="0" applyFont="1" applyBorder="1" applyAlignment="1">
      <alignment vertical="center"/>
    </xf>
    <xf numFmtId="0" fontId="0" fillId="0" borderId="1" xfId="0" applyBorder="1"/>
    <xf numFmtId="0" fontId="0" fillId="0" borderId="1" xfId="0" applyBorder="1" applyAlignment="1">
      <alignment wrapText="1"/>
    </xf>
    <xf numFmtId="44" fontId="0" fillId="0" borderId="1" xfId="1" applyFont="1" applyBorder="1"/>
    <xf numFmtId="14" fontId="0" fillId="0" borderId="1" xfId="0" applyNumberFormat="1" applyBorder="1"/>
    <xf numFmtId="0" fontId="6" fillId="0" borderId="4" xfId="0" applyFont="1" applyBorder="1" applyAlignment="1">
      <alignment vertical="center" wrapText="1"/>
    </xf>
    <xf numFmtId="164" fontId="7" fillId="0" borderId="4" xfId="0" applyNumberFormat="1" applyFont="1" applyBorder="1" applyAlignment="1">
      <alignment vertical="center"/>
    </xf>
    <xf numFmtId="0" fontId="0" fillId="0" borderId="0" xfId="0" applyAlignment="1">
      <alignment vertical="center"/>
    </xf>
    <xf numFmtId="0" fontId="0" fillId="0" borderId="1" xfId="0" applyBorder="1" applyAlignment="1">
      <alignment vertical="center"/>
    </xf>
    <xf numFmtId="44" fontId="0" fillId="0" borderId="1" xfId="1" applyFont="1" applyBorder="1" applyAlignment="1">
      <alignment horizontal="right"/>
    </xf>
    <xf numFmtId="0" fontId="2" fillId="3" borderId="1" xfId="0" applyFont="1" applyFill="1" applyBorder="1" applyAlignment="1">
      <alignment horizontal="center" vertical="center"/>
    </xf>
    <xf numFmtId="9" fontId="0" fillId="0" borderId="1" xfId="2" applyFont="1" applyBorder="1" applyAlignment="1">
      <alignment horizontal="center" vertical="center"/>
    </xf>
    <xf numFmtId="0" fontId="0" fillId="0" borderId="1" xfId="0" applyBorder="1" applyAlignment="1">
      <alignment horizontal="center"/>
    </xf>
    <xf numFmtId="0" fontId="0" fillId="0" borderId="5" xfId="0" applyBorder="1" applyAlignment="1">
      <alignment horizontal="center" vertical="center"/>
    </xf>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165" fontId="0" fillId="0" borderId="0" xfId="0" applyNumberFormat="1"/>
    <xf numFmtId="165" fontId="0" fillId="0" borderId="1" xfId="0" applyNumberFormat="1" applyBorder="1" applyAlignment="1">
      <alignment horizontal="center" vertical="center"/>
    </xf>
    <xf numFmtId="0" fontId="0" fillId="3" borderId="1" xfId="0" applyFill="1" applyBorder="1"/>
    <xf numFmtId="44" fontId="0" fillId="0" borderId="0" xfId="0" applyNumberFormat="1"/>
    <xf numFmtId="10" fontId="0" fillId="0" borderId="1" xfId="2" applyNumberFormat="1" applyFont="1" applyBorder="1"/>
    <xf numFmtId="14" fontId="0" fillId="0" borderId="1" xfId="0" applyNumberFormat="1" applyBorder="1" applyAlignment="1">
      <alignment horizontal="center" vertical="center"/>
    </xf>
    <xf numFmtId="0" fontId="0" fillId="0" borderId="1" xfId="0" applyBorder="1" applyAlignment="1">
      <alignment vertical="center" wrapText="1"/>
    </xf>
    <xf numFmtId="0" fontId="6"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167" fontId="11" fillId="3" borderId="1" xfId="0" applyNumberFormat="1" applyFont="1" applyFill="1" applyBorder="1" applyAlignment="1">
      <alignment horizontal="center" vertical="center"/>
    </xf>
    <xf numFmtId="166" fontId="10" fillId="3"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49"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vertical="center"/>
    </xf>
    <xf numFmtId="14" fontId="0" fillId="0" borderId="0" xfId="0" applyNumberFormat="1"/>
    <xf numFmtId="0" fontId="2" fillId="0" borderId="1" xfId="0" applyFont="1" applyBorder="1" applyAlignment="1">
      <alignment vertical="center" wrapText="1"/>
    </xf>
    <xf numFmtId="164" fontId="7" fillId="0" borderId="9" xfId="0" applyNumberFormat="1" applyFont="1" applyBorder="1" applyAlignment="1">
      <alignment vertical="center"/>
    </xf>
    <xf numFmtId="0" fontId="6" fillId="0" borderId="1" xfId="0" applyFont="1" applyBorder="1" applyAlignment="1">
      <alignment vertical="center" wrapText="1"/>
    </xf>
    <xf numFmtId="2" fontId="0" fillId="0" borderId="1" xfId="0" applyNumberFormat="1" applyBorder="1"/>
    <xf numFmtId="0" fontId="3" fillId="0" borderId="0" xfId="0" applyFont="1"/>
    <xf numFmtId="44" fontId="0" fillId="4" borderId="0" xfId="1" applyFont="1" applyFill="1"/>
    <xf numFmtId="2" fontId="0" fillId="0" borderId="1" xfId="0" applyNumberFormat="1" applyBorder="1" applyAlignment="1">
      <alignment horizontal="center" vertical="center"/>
    </xf>
    <xf numFmtId="44" fontId="0" fillId="0" borderId="1" xfId="1" applyFont="1" applyBorder="1" applyAlignment="1">
      <alignment vertical="center"/>
    </xf>
    <xf numFmtId="14" fontId="0" fillId="0" borderId="8" xfId="0" applyNumberFormat="1" applyBorder="1" applyAlignment="1">
      <alignment horizontal="center" vertical="center"/>
    </xf>
    <xf numFmtId="0" fontId="0" fillId="0" borderId="0" xfId="0" applyAlignment="1">
      <alignment horizontal="center" vertical="center"/>
    </xf>
    <xf numFmtId="44" fontId="0" fillId="0" borderId="1" xfId="1" applyFont="1" applyBorder="1" applyAlignment="1">
      <alignment horizontal="center" vertical="center"/>
    </xf>
    <xf numFmtId="0" fontId="0" fillId="0" borderId="12" xfId="0" applyBorder="1"/>
    <xf numFmtId="0" fontId="0" fillId="0" borderId="1" xfId="0" applyBorder="1" applyAlignment="1">
      <alignment horizontal="left" vertical="center"/>
    </xf>
    <xf numFmtId="165" fontId="0" fillId="0" borderId="1" xfId="0" applyNumberFormat="1" applyBorder="1" applyAlignment="1">
      <alignment vertical="center"/>
    </xf>
    <xf numFmtId="10" fontId="0" fillId="0" borderId="1" xfId="2" applyNumberFormat="1" applyFont="1" applyBorder="1" applyAlignment="1">
      <alignment vertical="center"/>
    </xf>
    <xf numFmtId="9" fontId="0" fillId="0" borderId="1" xfId="2" applyFont="1" applyFill="1" applyBorder="1" applyAlignment="1">
      <alignment horizontal="center" vertical="center"/>
    </xf>
    <xf numFmtId="0" fontId="0" fillId="0" borderId="0" xfId="0" applyAlignment="1">
      <alignment horizontal="center"/>
    </xf>
    <xf numFmtId="2" fontId="0" fillId="0" borderId="1" xfId="2" applyNumberFormat="1" applyFont="1" applyBorder="1" applyAlignment="1">
      <alignment horizontal="center" vertical="center"/>
    </xf>
    <xf numFmtId="165" fontId="0" fillId="0" borderId="0" xfId="0" applyNumberFormat="1" applyAlignment="1">
      <alignment vertical="center"/>
    </xf>
    <xf numFmtId="44" fontId="0" fillId="0" borderId="0" xfId="1" applyFont="1"/>
    <xf numFmtId="15" fontId="12" fillId="0" borderId="1" xfId="0" applyNumberFormat="1" applyFont="1" applyBorder="1" applyAlignment="1">
      <alignment horizontal="center" vertical="center" wrapText="1"/>
    </xf>
    <xf numFmtId="166" fontId="12" fillId="0" borderId="1" xfId="0" applyNumberFormat="1" applyFont="1" applyBorder="1" applyAlignment="1">
      <alignment horizontal="center" vertical="center" wrapText="1"/>
    </xf>
    <xf numFmtId="0" fontId="6" fillId="0" borderId="14" xfId="0" applyFont="1" applyBorder="1" applyAlignment="1">
      <alignment horizontal="center" vertical="center" wrapText="1"/>
    </xf>
    <xf numFmtId="44" fontId="0" fillId="5" borderId="1" xfId="1" applyFont="1" applyFill="1" applyBorder="1" applyAlignment="1">
      <alignment vertical="center"/>
    </xf>
    <xf numFmtId="0" fontId="0" fillId="0" borderId="8" xfId="0" applyBorder="1" applyAlignment="1">
      <alignment vertical="center"/>
    </xf>
    <xf numFmtId="10" fontId="0" fillId="0" borderId="1" xfId="2" applyNumberFormat="1" applyFont="1" applyBorder="1" applyAlignment="1">
      <alignment horizontal="center" vertical="center"/>
    </xf>
    <xf numFmtId="0" fontId="0" fillId="0" borderId="1" xfId="0" applyBorder="1" applyAlignment="1">
      <alignment horizontal="center" wrapText="1"/>
    </xf>
    <xf numFmtId="0" fontId="8" fillId="3" borderId="1" xfId="0" applyFont="1" applyFill="1" applyBorder="1" applyAlignment="1">
      <alignment horizont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2" xfId="0" applyFont="1" applyFill="1" applyBorder="1" applyAlignment="1">
      <alignment horizontal="center" vertical="center"/>
    </xf>
    <xf numFmtId="0" fontId="5" fillId="0" borderId="3" xfId="0" applyFont="1" applyBorder="1"/>
    <xf numFmtId="0" fontId="14" fillId="0" borderId="1" xfId="0" applyFont="1" applyBorder="1" applyAlignment="1">
      <alignment horizont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1" xfId="0" applyFont="1" applyBorder="1"/>
    <xf numFmtId="0" fontId="12" fillId="0" borderId="1" xfId="0" applyFont="1" applyBorder="1" applyAlignment="1">
      <alignment horizontal="center" vertical="center"/>
    </xf>
    <xf numFmtId="0" fontId="10" fillId="3" borderId="1" xfId="0" applyFont="1" applyFill="1" applyBorder="1" applyAlignment="1">
      <alignment horizontal="center" vertical="center" wrapText="1"/>
    </xf>
    <xf numFmtId="0" fontId="5" fillId="3" borderId="1" xfId="0" applyFont="1" applyFill="1" applyBorder="1" applyAlignment="1">
      <alignment wrapText="1"/>
    </xf>
    <xf numFmtId="0" fontId="5" fillId="3" borderId="1" xfId="0" applyFont="1" applyFill="1" applyBorder="1"/>
    <xf numFmtId="0" fontId="10"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6" fillId="0" borderId="15" xfId="0" applyFont="1" applyBorder="1" applyAlignment="1">
      <alignment horizontal="center" vertical="center" wrapText="1"/>
    </xf>
    <xf numFmtId="0" fontId="5" fillId="0" borderId="13" xfId="0" applyFont="1" applyBorder="1"/>
    <xf numFmtId="0" fontId="6" fillId="0" borderId="1" xfId="0" applyFont="1" applyBorder="1" applyAlignment="1">
      <alignment horizontal="center" vertical="center" wrapText="1"/>
    </xf>
    <xf numFmtId="0" fontId="0" fillId="0" borderId="1" xfId="0" applyBorder="1"/>
    <xf numFmtId="0" fontId="6" fillId="0" borderId="16" xfId="0" applyFont="1" applyBorder="1" applyAlignment="1">
      <alignment horizontal="center" vertical="center" wrapText="1"/>
    </xf>
    <xf numFmtId="0" fontId="5" fillId="0" borderId="14" xfId="0" applyFont="1" applyBorder="1"/>
    <xf numFmtId="0" fontId="6" fillId="0" borderId="9"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cellXfs>
  <cellStyles count="3">
    <cellStyle name="Moneda" xfId="1" builtinId="4"/>
    <cellStyle name="Normal" xfId="0" builtinId="0"/>
    <cellStyle name="Porcentaje" xfId="2" builtinId="5"/>
  </cellStyles>
  <dxfs count="42">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patternType="solid">
          <fgColor rgb="FFFFFF00"/>
          <bgColor rgb="FFFFFF00"/>
        </patternFill>
      </fill>
    </dxf>
    <dxf>
      <fill>
        <patternFill patternType="solid">
          <fgColor rgb="FFFF0000"/>
          <bgColor rgb="FFFF00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theme="8"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rgb="FFFF0000"/>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D48E-251D-4FE1-BFD0-2CF243A20D28}">
  <dimension ref="C3:K32"/>
  <sheetViews>
    <sheetView topLeftCell="A22" workbookViewId="0">
      <selection activeCell="D18" sqref="D18"/>
    </sheetView>
  </sheetViews>
  <sheetFormatPr baseColWidth="10" defaultRowHeight="15" x14ac:dyDescent="0.25"/>
  <cols>
    <col min="3" max="3" width="20.5703125" customWidth="1"/>
    <col min="4" max="4" width="14.5703125" bestFit="1" customWidth="1"/>
  </cols>
  <sheetData>
    <row r="3" spans="3:11" x14ac:dyDescent="0.25">
      <c r="C3" s="19" t="s">
        <v>33</v>
      </c>
      <c r="D3" s="19" t="s">
        <v>34</v>
      </c>
      <c r="I3" t="s">
        <v>67</v>
      </c>
      <c r="K3" t="s">
        <v>70</v>
      </c>
    </row>
    <row r="4" spans="3:11" x14ac:dyDescent="0.25">
      <c r="C4" s="13">
        <v>2024</v>
      </c>
      <c r="D4" s="4">
        <v>1300000</v>
      </c>
      <c r="I4" t="s">
        <v>68</v>
      </c>
      <c r="K4" t="s">
        <v>71</v>
      </c>
    </row>
    <row r="5" spans="3:11" x14ac:dyDescent="0.25">
      <c r="C5" s="13">
        <v>2023</v>
      </c>
      <c r="D5" s="4">
        <v>1160000</v>
      </c>
      <c r="I5" t="s">
        <v>69</v>
      </c>
      <c r="K5" t="s">
        <v>15</v>
      </c>
    </row>
    <row r="6" spans="3:11" x14ac:dyDescent="0.25">
      <c r="C6" s="13">
        <v>2022</v>
      </c>
      <c r="D6" s="4">
        <v>1000000</v>
      </c>
    </row>
    <row r="7" spans="3:11" x14ac:dyDescent="0.25">
      <c r="C7" s="13">
        <v>2021</v>
      </c>
      <c r="D7" s="4">
        <v>908526</v>
      </c>
      <c r="I7" t="s">
        <v>79</v>
      </c>
      <c r="K7" t="s">
        <v>113</v>
      </c>
    </row>
    <row r="8" spans="3:11" x14ac:dyDescent="0.25">
      <c r="C8" s="13">
        <v>2020</v>
      </c>
      <c r="D8" s="4">
        <v>877803</v>
      </c>
      <c r="I8" t="s">
        <v>112</v>
      </c>
      <c r="K8" t="s">
        <v>114</v>
      </c>
    </row>
    <row r="9" spans="3:11" x14ac:dyDescent="0.25">
      <c r="C9" s="13">
        <v>2019</v>
      </c>
      <c r="D9" s="4">
        <v>828116</v>
      </c>
      <c r="I9" t="s">
        <v>15</v>
      </c>
      <c r="K9" t="s">
        <v>115</v>
      </c>
    </row>
    <row r="10" spans="3:11" x14ac:dyDescent="0.25">
      <c r="C10" s="13">
        <v>2018</v>
      </c>
      <c r="D10" s="4">
        <v>781242</v>
      </c>
    </row>
    <row r="11" spans="3:11" x14ac:dyDescent="0.25">
      <c r="C11" s="13">
        <v>2017</v>
      </c>
      <c r="D11" s="4">
        <v>737717</v>
      </c>
    </row>
    <row r="12" spans="3:11" x14ac:dyDescent="0.25">
      <c r="C12" s="13">
        <v>2016</v>
      </c>
      <c r="D12" s="4">
        <v>689455</v>
      </c>
      <c r="I12" t="s">
        <v>70</v>
      </c>
    </row>
    <row r="13" spans="3:11" x14ac:dyDescent="0.25">
      <c r="C13" s="13">
        <v>2015</v>
      </c>
      <c r="D13" s="4">
        <v>644350</v>
      </c>
      <c r="I13" t="s">
        <v>71</v>
      </c>
    </row>
    <row r="14" spans="3:11" x14ac:dyDescent="0.25">
      <c r="C14" s="13">
        <v>2014</v>
      </c>
      <c r="D14" s="4">
        <v>616000</v>
      </c>
      <c r="I14" t="s">
        <v>116</v>
      </c>
    </row>
    <row r="15" spans="3:11" x14ac:dyDescent="0.25">
      <c r="C15" s="13">
        <v>2013</v>
      </c>
      <c r="D15" s="4">
        <v>589500</v>
      </c>
    </row>
    <row r="16" spans="3:11" x14ac:dyDescent="0.25">
      <c r="C16" s="13">
        <v>2012</v>
      </c>
      <c r="D16" s="4">
        <v>566700</v>
      </c>
    </row>
    <row r="17" spans="3:4" x14ac:dyDescent="0.25">
      <c r="C17" s="13">
        <v>2011</v>
      </c>
      <c r="D17" s="4">
        <v>535600</v>
      </c>
    </row>
    <row r="18" spans="3:4" x14ac:dyDescent="0.25">
      <c r="C18" s="13">
        <v>2010</v>
      </c>
      <c r="D18" s="4">
        <v>515000</v>
      </c>
    </row>
    <row r="19" spans="3:4" x14ac:dyDescent="0.25">
      <c r="C19" s="13">
        <v>2009</v>
      </c>
      <c r="D19" s="4">
        <v>496900</v>
      </c>
    </row>
    <row r="20" spans="3:4" x14ac:dyDescent="0.25">
      <c r="C20" s="13">
        <v>2008</v>
      </c>
      <c r="D20" s="4">
        <v>461500</v>
      </c>
    </row>
    <row r="21" spans="3:4" x14ac:dyDescent="0.25">
      <c r="C21" s="13">
        <v>2007</v>
      </c>
      <c r="D21" s="4">
        <v>433700</v>
      </c>
    </row>
    <row r="22" spans="3:4" x14ac:dyDescent="0.25">
      <c r="C22" s="13">
        <v>2006</v>
      </c>
      <c r="D22" s="4">
        <v>408000</v>
      </c>
    </row>
    <row r="23" spans="3:4" x14ac:dyDescent="0.25">
      <c r="C23" s="13">
        <v>2005</v>
      </c>
      <c r="D23" s="4">
        <v>381500</v>
      </c>
    </row>
    <row r="24" spans="3:4" x14ac:dyDescent="0.25">
      <c r="C24" s="13">
        <v>2004</v>
      </c>
      <c r="D24" s="4">
        <v>358000</v>
      </c>
    </row>
    <row r="25" spans="3:4" x14ac:dyDescent="0.25">
      <c r="C25" s="13">
        <v>2003</v>
      </c>
      <c r="D25" s="4">
        <v>332000</v>
      </c>
    </row>
    <row r="26" spans="3:4" x14ac:dyDescent="0.25">
      <c r="C26" s="13">
        <v>2002</v>
      </c>
      <c r="D26" s="4">
        <v>309000</v>
      </c>
    </row>
    <row r="27" spans="3:4" x14ac:dyDescent="0.25">
      <c r="C27" s="13">
        <v>2001</v>
      </c>
      <c r="D27" s="4">
        <v>286000</v>
      </c>
    </row>
    <row r="28" spans="3:4" x14ac:dyDescent="0.25">
      <c r="C28" s="13">
        <v>2000</v>
      </c>
      <c r="D28" s="4">
        <v>260100</v>
      </c>
    </row>
    <row r="29" spans="3:4" x14ac:dyDescent="0.25">
      <c r="C29" s="13">
        <v>1999</v>
      </c>
      <c r="D29" s="4">
        <v>236000</v>
      </c>
    </row>
    <row r="30" spans="3:4" x14ac:dyDescent="0.25">
      <c r="C30" s="13">
        <v>1998</v>
      </c>
      <c r="D30" s="4">
        <v>203826</v>
      </c>
    </row>
    <row r="31" spans="3:4" x14ac:dyDescent="0.25">
      <c r="C31" s="13">
        <v>1997</v>
      </c>
      <c r="D31" s="4">
        <v>172005</v>
      </c>
    </row>
    <row r="32" spans="3:4" x14ac:dyDescent="0.25">
      <c r="C32" s="13">
        <v>1996</v>
      </c>
      <c r="D32" s="4">
        <v>142125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C0B47-FD64-475E-A7C1-764D9027380C}">
  <dimension ref="B2:D25"/>
  <sheetViews>
    <sheetView topLeftCell="B1" zoomScale="115" zoomScaleNormal="115" workbookViewId="0">
      <selection activeCell="D5" sqref="D5"/>
    </sheetView>
  </sheetViews>
  <sheetFormatPr baseColWidth="10" defaultRowHeight="15" x14ac:dyDescent="0.25"/>
  <cols>
    <col min="2" max="2" width="46.5703125" customWidth="1"/>
    <col min="3" max="3" width="90.140625" customWidth="1"/>
    <col min="4" max="4" width="17.7109375" bestFit="1" customWidth="1"/>
  </cols>
  <sheetData>
    <row r="2" spans="2:4" x14ac:dyDescent="0.25">
      <c r="B2" s="63" t="s">
        <v>5</v>
      </c>
      <c r="C2" s="63"/>
    </row>
    <row r="3" spans="2:4" x14ac:dyDescent="0.25">
      <c r="B3" s="1" t="s">
        <v>6</v>
      </c>
      <c r="C3" s="2" t="s">
        <v>135</v>
      </c>
    </row>
    <row r="4" spans="2:4" ht="30" customHeight="1" x14ac:dyDescent="0.25">
      <c r="B4" s="1" t="s">
        <v>0</v>
      </c>
      <c r="C4" s="3" t="s">
        <v>136</v>
      </c>
    </row>
    <row r="5" spans="2:4" x14ac:dyDescent="0.25">
      <c r="B5" s="1" t="s">
        <v>1</v>
      </c>
      <c r="C5" s="10">
        <v>384279332</v>
      </c>
      <c r="D5" s="55">
        <f>+C5*30%</f>
        <v>115283799.59999999</v>
      </c>
    </row>
    <row r="6" spans="2:4" x14ac:dyDescent="0.25">
      <c r="B6" s="1" t="s">
        <v>2</v>
      </c>
      <c r="C6" s="2">
        <v>9</v>
      </c>
    </row>
    <row r="7" spans="2:4" x14ac:dyDescent="0.25">
      <c r="B7" s="1" t="s">
        <v>3</v>
      </c>
      <c r="C7" s="5">
        <v>46058</v>
      </c>
    </row>
    <row r="8" spans="2:4" x14ac:dyDescent="0.25">
      <c r="B8" s="1" t="s">
        <v>4</v>
      </c>
      <c r="C8" s="5">
        <v>46077</v>
      </c>
    </row>
    <row r="9" spans="2:4" x14ac:dyDescent="0.25">
      <c r="B9" s="34"/>
      <c r="C9" s="35"/>
    </row>
    <row r="10" spans="2:4" ht="15.75" x14ac:dyDescent="0.25">
      <c r="B10" s="64" t="s">
        <v>117</v>
      </c>
      <c r="C10" s="65"/>
    </row>
    <row r="11" spans="2:4" ht="30" x14ac:dyDescent="0.25">
      <c r="B11" s="36" t="s">
        <v>123</v>
      </c>
      <c r="C11" s="7">
        <v>1.2</v>
      </c>
    </row>
    <row r="12" spans="2:4" ht="30" x14ac:dyDescent="0.25">
      <c r="B12" s="36" t="s">
        <v>124</v>
      </c>
      <c r="C12" s="37">
        <v>0.7</v>
      </c>
    </row>
    <row r="13" spans="2:4" ht="30" x14ac:dyDescent="0.25">
      <c r="B13" s="36" t="s">
        <v>118</v>
      </c>
      <c r="C13" s="39">
        <v>1</v>
      </c>
    </row>
    <row r="14" spans="2:4" ht="25.5" x14ac:dyDescent="0.25">
      <c r="B14" s="38" t="s">
        <v>137</v>
      </c>
      <c r="C14" s="4">
        <f>+(C5-0)*33%</f>
        <v>126812179.56</v>
      </c>
      <c r="D14" s="55"/>
    </row>
    <row r="15" spans="2:4" x14ac:dyDescent="0.25">
      <c r="B15" s="34"/>
      <c r="C15" s="35"/>
    </row>
    <row r="16" spans="2:4" ht="15.75" x14ac:dyDescent="0.25">
      <c r="B16" s="66" t="s">
        <v>119</v>
      </c>
      <c r="C16" s="67"/>
    </row>
    <row r="17" spans="2:3" ht="25.5" x14ac:dyDescent="0.25">
      <c r="B17" s="6" t="s">
        <v>125</v>
      </c>
      <c r="C17" s="39">
        <v>0.02</v>
      </c>
    </row>
    <row r="18" spans="2:3" ht="25.5" x14ac:dyDescent="0.25">
      <c r="B18" s="6" t="s">
        <v>126</v>
      </c>
      <c r="C18" s="39">
        <v>0.01</v>
      </c>
    </row>
    <row r="19" spans="2:3" x14ac:dyDescent="0.25">
      <c r="B19" s="34"/>
      <c r="C19" s="35"/>
    </row>
    <row r="20" spans="2:3" ht="15.75" x14ac:dyDescent="0.25">
      <c r="B20" s="64" t="s">
        <v>7</v>
      </c>
      <c r="C20" s="65"/>
    </row>
    <row r="21" spans="2:3" ht="21.75" customHeight="1" x14ac:dyDescent="0.25">
      <c r="B21" s="6" t="s">
        <v>8</v>
      </c>
      <c r="C21" s="7">
        <f>ROUND(C5/1750905,2)</f>
        <v>219.47</v>
      </c>
    </row>
    <row r="22" spans="2:3" ht="21.75" customHeight="1" x14ac:dyDescent="0.25">
      <c r="B22" s="6" t="s">
        <v>128</v>
      </c>
      <c r="C22" s="7">
        <f>+ROUND(C21*30%,2)</f>
        <v>65.84</v>
      </c>
    </row>
    <row r="24" spans="2:3" ht="30" x14ac:dyDescent="0.25">
      <c r="B24" s="1" t="s">
        <v>9</v>
      </c>
      <c r="C24" s="23" t="s">
        <v>127</v>
      </c>
    </row>
    <row r="25" spans="2:3" ht="105" x14ac:dyDescent="0.25">
      <c r="B25" s="1" t="s">
        <v>130</v>
      </c>
      <c r="C25" s="23" t="s">
        <v>129</v>
      </c>
    </row>
  </sheetData>
  <mergeCells count="4">
    <mergeCell ref="B2:C2"/>
    <mergeCell ref="B20:C20"/>
    <mergeCell ref="B10:C10"/>
    <mergeCell ref="B16:C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A38A1-35C8-47B3-AFF8-33E45099B3BA}">
  <dimension ref="B3:G7"/>
  <sheetViews>
    <sheetView workbookViewId="0">
      <selection activeCell="D11" sqref="D11"/>
    </sheetView>
  </sheetViews>
  <sheetFormatPr baseColWidth="10" defaultRowHeight="15" x14ac:dyDescent="0.25"/>
  <cols>
    <col min="2" max="2" width="4.140625" bestFit="1" customWidth="1"/>
    <col min="3" max="3" width="34" bestFit="1" customWidth="1"/>
    <col min="4" max="4" width="37.5703125" bestFit="1" customWidth="1"/>
    <col min="5" max="5" width="32" bestFit="1" customWidth="1"/>
    <col min="6" max="6" width="11.140625" customWidth="1"/>
  </cols>
  <sheetData>
    <row r="3" spans="2:7" x14ac:dyDescent="0.25">
      <c r="B3" s="11" t="s">
        <v>11</v>
      </c>
      <c r="C3" s="11" t="s">
        <v>12</v>
      </c>
      <c r="D3" s="11" t="s">
        <v>10</v>
      </c>
      <c r="E3" s="11" t="s">
        <v>14</v>
      </c>
      <c r="F3" s="11" t="s">
        <v>13</v>
      </c>
    </row>
    <row r="4" spans="2:7" x14ac:dyDescent="0.25">
      <c r="B4" s="14">
        <v>1</v>
      </c>
      <c r="C4" s="48" t="s">
        <v>138</v>
      </c>
      <c r="D4" s="48" t="s">
        <v>138</v>
      </c>
      <c r="E4" s="2" t="s">
        <v>15</v>
      </c>
      <c r="F4" s="51">
        <v>1</v>
      </c>
      <c r="G4" s="40">
        <f>SUMIF(EXPERIENCIA!C:C,E4,EXPERIENCIA!N:N)</f>
        <v>0</v>
      </c>
    </row>
    <row r="5" spans="2:7" x14ac:dyDescent="0.25">
      <c r="B5" s="14">
        <v>2</v>
      </c>
      <c r="C5" s="48" t="s">
        <v>131</v>
      </c>
      <c r="D5" s="48" t="s">
        <v>139</v>
      </c>
      <c r="E5" s="2" t="s">
        <v>15</v>
      </c>
      <c r="F5" s="51">
        <v>1</v>
      </c>
      <c r="G5" s="40">
        <f>SUMIF(EXPERIENCIA!C:C,E5,EXPERIENCIA!N:N)</f>
        <v>0</v>
      </c>
    </row>
    <row r="6" spans="2:7" x14ac:dyDescent="0.25">
      <c r="B6" s="33">
        <v>3</v>
      </c>
      <c r="C6" s="48" t="s">
        <v>132</v>
      </c>
      <c r="D6" s="48" t="s">
        <v>133</v>
      </c>
      <c r="E6" s="2" t="s">
        <v>15</v>
      </c>
      <c r="F6" s="51">
        <v>1</v>
      </c>
      <c r="G6" s="40">
        <f>SUMIF(EXPERIENCIA!C:C,E6,EXPERIENCIA!N:N)</f>
        <v>0</v>
      </c>
    </row>
    <row r="7" spans="2:7" x14ac:dyDescent="0.25">
      <c r="B7" s="33">
        <v>4</v>
      </c>
      <c r="C7" s="2" t="s">
        <v>140</v>
      </c>
      <c r="D7" s="2" t="s">
        <v>141</v>
      </c>
      <c r="E7" s="2" t="s">
        <v>15</v>
      </c>
      <c r="F7" s="51">
        <v>1</v>
      </c>
    </row>
  </sheetData>
  <phoneticPr fontId="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B3AF4-6BEB-46EC-B38B-9B7391A58015}">
  <dimension ref="A1:AS7"/>
  <sheetViews>
    <sheetView zoomScale="85" zoomScaleNormal="85" workbookViewId="0">
      <pane xSplit="2" ySplit="3" topLeftCell="AH4" activePane="bottomRight" state="frozen"/>
      <selection pane="topRight" activeCell="D1" sqref="D1"/>
      <selection pane="bottomLeft" activeCell="A4" sqref="A4"/>
      <selection pane="bottomRight" activeCell="AL11" sqref="AL11"/>
    </sheetView>
  </sheetViews>
  <sheetFormatPr baseColWidth="10" defaultRowHeight="15" x14ac:dyDescent="0.25"/>
  <cols>
    <col min="1" max="1" width="3.85546875" bestFit="1" customWidth="1"/>
    <col min="2" max="2" width="32.42578125" customWidth="1"/>
    <col min="3" max="3" width="13.140625" style="8" bestFit="1" customWidth="1"/>
    <col min="4" max="4" width="37" customWidth="1"/>
    <col min="5" max="5" width="35.140625" bestFit="1" customWidth="1"/>
    <col min="6" max="6" width="20.42578125" customWidth="1"/>
    <col min="7" max="7" width="21.28515625" customWidth="1"/>
    <col min="8" max="8" width="19" bestFit="1" customWidth="1"/>
    <col min="9" max="9" width="9.85546875" bestFit="1" customWidth="1"/>
    <col min="10" max="10" width="7.28515625" bestFit="1" customWidth="1"/>
    <col min="11" max="11" width="12.28515625" bestFit="1" customWidth="1"/>
    <col min="12" max="12" width="32.5703125" bestFit="1" customWidth="1"/>
    <col min="13" max="13" width="12.140625" bestFit="1" customWidth="1"/>
    <col min="14" max="14" width="13.140625" bestFit="1" customWidth="1"/>
    <col min="15" max="15" width="10.42578125" bestFit="1" customWidth="1"/>
    <col min="16" max="16" width="18.28515625" bestFit="1" customWidth="1"/>
    <col min="17" max="17" width="8" bestFit="1" customWidth="1"/>
    <col min="18" max="18" width="11.85546875" bestFit="1" customWidth="1"/>
    <col min="19" max="19" width="45.42578125" bestFit="1" customWidth="1"/>
    <col min="20" max="20" width="19.140625" bestFit="1" customWidth="1"/>
    <col min="21" max="21" width="12.85546875" customWidth="1"/>
    <col min="22" max="22" width="15.5703125" customWidth="1"/>
    <col min="23" max="23" width="14.140625" customWidth="1"/>
    <col min="24" max="24" width="13.140625" bestFit="1" customWidth="1"/>
    <col min="25" max="25" width="12.42578125" bestFit="1" customWidth="1"/>
    <col min="26" max="26" width="18.28515625" customWidth="1"/>
    <col min="27" max="27" width="10.140625" bestFit="1" customWidth="1"/>
    <col min="28" max="28" width="11.28515625" bestFit="1" customWidth="1"/>
    <col min="29" max="29" width="34" bestFit="1" customWidth="1"/>
    <col min="30" max="30" width="15" customWidth="1"/>
    <col min="31" max="31" width="15.5703125" customWidth="1"/>
    <col min="32" max="32" width="11.85546875" customWidth="1"/>
    <col min="33" max="33" width="21" customWidth="1"/>
    <col min="34" max="34" width="20.140625" customWidth="1"/>
    <col min="35" max="36" width="21.42578125" bestFit="1" customWidth="1"/>
    <col min="37" max="37" width="17.5703125" bestFit="1" customWidth="1"/>
    <col min="38" max="38" width="14.140625" customWidth="1"/>
    <col min="39" max="39" width="13.28515625" bestFit="1" customWidth="1"/>
    <col min="40" max="40" width="13.42578125" bestFit="1" customWidth="1"/>
    <col min="42" max="42" width="11.42578125" customWidth="1"/>
    <col min="43" max="43" width="75.85546875" customWidth="1"/>
  </cols>
  <sheetData>
    <row r="1" spans="1:45" x14ac:dyDescent="0.25">
      <c r="AE1" s="41">
        <f>+INFORMACION!C5*10%</f>
        <v>38427933.200000003</v>
      </c>
    </row>
    <row r="2" spans="1:45" x14ac:dyDescent="0.25">
      <c r="A2" s="69" t="s">
        <v>11</v>
      </c>
      <c r="B2" s="69" t="s">
        <v>12</v>
      </c>
      <c r="C2" s="69" t="s">
        <v>72</v>
      </c>
      <c r="D2" s="71"/>
      <c r="E2" s="71"/>
      <c r="F2" s="71"/>
      <c r="G2" s="71"/>
      <c r="H2" s="71"/>
      <c r="I2" s="72" t="s">
        <v>73</v>
      </c>
      <c r="J2" s="71"/>
      <c r="K2" s="71"/>
      <c r="L2" s="71"/>
      <c r="M2" s="71"/>
      <c r="N2" s="72" t="s">
        <v>74</v>
      </c>
      <c r="O2" s="71"/>
      <c r="P2" s="71"/>
      <c r="Q2" s="71"/>
      <c r="R2" s="71"/>
      <c r="S2" s="71"/>
      <c r="T2" s="71"/>
      <c r="U2" s="71"/>
      <c r="V2" s="71"/>
      <c r="W2" s="71"/>
      <c r="X2" s="69" t="s">
        <v>75</v>
      </c>
      <c r="Y2" s="71"/>
      <c r="Z2" s="71"/>
      <c r="AA2" s="71"/>
      <c r="AB2" s="71"/>
      <c r="AC2" s="68" t="s">
        <v>76</v>
      </c>
      <c r="AD2" s="68"/>
      <c r="AE2" s="68"/>
      <c r="AF2" s="68"/>
      <c r="AG2" s="69" t="s">
        <v>77</v>
      </c>
      <c r="AH2" s="69"/>
      <c r="AI2" s="69"/>
      <c r="AJ2" s="69"/>
      <c r="AK2" s="69"/>
      <c r="AL2" s="69"/>
      <c r="AM2" s="69"/>
      <c r="AN2" s="69"/>
      <c r="AO2" s="69"/>
      <c r="AP2" s="70" t="s">
        <v>78</v>
      </c>
      <c r="AQ2" s="69" t="s">
        <v>28</v>
      </c>
    </row>
    <row r="3" spans="1:45" ht="63.75" x14ac:dyDescent="0.25">
      <c r="A3" s="71"/>
      <c r="B3" s="71"/>
      <c r="C3" s="29" t="s">
        <v>79</v>
      </c>
      <c r="D3" s="29" t="s">
        <v>10</v>
      </c>
      <c r="E3" s="29" t="s">
        <v>80</v>
      </c>
      <c r="F3" s="30" t="s">
        <v>81</v>
      </c>
      <c r="G3" s="29" t="s">
        <v>82</v>
      </c>
      <c r="H3" s="56" t="s">
        <v>83</v>
      </c>
      <c r="I3" s="31" t="s">
        <v>84</v>
      </c>
      <c r="J3" s="31" t="s">
        <v>85</v>
      </c>
      <c r="K3" s="31" t="s">
        <v>86</v>
      </c>
      <c r="L3" s="29" t="s">
        <v>16</v>
      </c>
      <c r="M3" s="57" t="s">
        <v>87</v>
      </c>
      <c r="N3" s="31" t="s">
        <v>84</v>
      </c>
      <c r="O3" s="31" t="s">
        <v>88</v>
      </c>
      <c r="P3" s="31" t="s">
        <v>89</v>
      </c>
      <c r="Q3" s="31" t="s">
        <v>90</v>
      </c>
      <c r="R3" s="31" t="s">
        <v>91</v>
      </c>
      <c r="S3" s="29" t="s">
        <v>10</v>
      </c>
      <c r="T3" s="29" t="s">
        <v>92</v>
      </c>
      <c r="U3" s="29" t="s">
        <v>93</v>
      </c>
      <c r="V3" s="29" t="s">
        <v>94</v>
      </c>
      <c r="W3" s="29" t="s">
        <v>95</v>
      </c>
      <c r="X3" s="31" t="s">
        <v>84</v>
      </c>
      <c r="Y3" s="31" t="s">
        <v>96</v>
      </c>
      <c r="Z3" s="31" t="s">
        <v>97</v>
      </c>
      <c r="AA3" s="31" t="s">
        <v>98</v>
      </c>
      <c r="AB3" s="32" t="s">
        <v>99</v>
      </c>
      <c r="AC3" s="29" t="s">
        <v>100</v>
      </c>
      <c r="AD3" s="29" t="s">
        <v>101</v>
      </c>
      <c r="AE3" s="29" t="s">
        <v>102</v>
      </c>
      <c r="AF3" s="29" t="s">
        <v>111</v>
      </c>
      <c r="AG3" s="32" t="s">
        <v>103</v>
      </c>
      <c r="AH3" s="32" t="s">
        <v>104</v>
      </c>
      <c r="AI3" s="32" t="s">
        <v>105</v>
      </c>
      <c r="AJ3" s="32" t="s">
        <v>106</v>
      </c>
      <c r="AK3" s="32" t="s">
        <v>107</v>
      </c>
      <c r="AL3" s="32" t="s">
        <v>120</v>
      </c>
      <c r="AM3" s="32" t="s">
        <v>108</v>
      </c>
      <c r="AN3" s="32" t="s">
        <v>109</v>
      </c>
      <c r="AO3" s="32" t="s">
        <v>110</v>
      </c>
      <c r="AP3" s="71"/>
      <c r="AQ3" s="71"/>
    </row>
    <row r="4" spans="1:45" x14ac:dyDescent="0.25">
      <c r="A4" s="33">
        <v>1</v>
      </c>
      <c r="B4" s="48" t="str">
        <f>IFERROR(VLOOKUP(A4,CIERRE!$B:$E,2,FALSE),"")</f>
        <v>JULIAN ANDRES GOMEZ RAMIREZ</v>
      </c>
      <c r="C4" s="33" t="s">
        <v>79</v>
      </c>
      <c r="D4" s="48" t="s">
        <v>162</v>
      </c>
      <c r="E4" s="48" t="s">
        <v>162</v>
      </c>
      <c r="F4" s="48" t="s">
        <v>163</v>
      </c>
      <c r="G4" s="33" t="s">
        <v>79</v>
      </c>
      <c r="H4" s="22">
        <v>45936</v>
      </c>
      <c r="I4" s="33" t="s">
        <v>15</v>
      </c>
      <c r="J4" s="33" t="s">
        <v>115</v>
      </c>
      <c r="K4" s="2" t="s">
        <v>15</v>
      </c>
      <c r="L4" s="2" t="s">
        <v>15</v>
      </c>
      <c r="M4" s="12">
        <v>0</v>
      </c>
      <c r="N4" s="9" t="s">
        <v>15</v>
      </c>
      <c r="O4" s="5" t="s">
        <v>15</v>
      </c>
      <c r="P4" s="2" t="s">
        <v>15</v>
      </c>
      <c r="Q4" s="9" t="s">
        <v>70</v>
      </c>
      <c r="R4" s="9" t="s">
        <v>70</v>
      </c>
      <c r="S4" s="48" t="s">
        <v>138</v>
      </c>
      <c r="T4" s="9" t="s">
        <v>15</v>
      </c>
      <c r="U4" s="33" t="s">
        <v>15</v>
      </c>
      <c r="V4" s="9" t="s">
        <v>15</v>
      </c>
      <c r="W4" s="9" t="s">
        <v>79</v>
      </c>
      <c r="X4" s="9" t="s">
        <v>79</v>
      </c>
      <c r="Y4" s="5">
        <v>45946</v>
      </c>
      <c r="Z4" s="9" t="s">
        <v>112</v>
      </c>
      <c r="AA4" s="9" t="s">
        <v>70</v>
      </c>
      <c r="AB4" s="9" t="s">
        <v>70</v>
      </c>
      <c r="AC4" s="48" t="s">
        <v>164</v>
      </c>
      <c r="AD4" s="22">
        <v>46152</v>
      </c>
      <c r="AE4" s="46">
        <v>38427933.200000003</v>
      </c>
      <c r="AF4" s="33" t="s">
        <v>70</v>
      </c>
      <c r="AG4" s="2" t="s">
        <v>116</v>
      </c>
      <c r="AH4" s="2" t="s">
        <v>116</v>
      </c>
      <c r="AI4" s="2" t="s">
        <v>116</v>
      </c>
      <c r="AJ4" s="2" t="s">
        <v>116</v>
      </c>
      <c r="AK4" s="9" t="s">
        <v>70</v>
      </c>
      <c r="AL4" s="33" t="s">
        <v>71</v>
      </c>
      <c r="AM4" s="9" t="s">
        <v>15</v>
      </c>
      <c r="AN4" s="9" t="s">
        <v>15</v>
      </c>
      <c r="AO4" s="2" t="s">
        <v>70</v>
      </c>
      <c r="AP4" s="33" t="s">
        <v>67</v>
      </c>
      <c r="AQ4" s="62" t="s">
        <v>173</v>
      </c>
    </row>
    <row r="5" spans="1:45" x14ac:dyDescent="0.25">
      <c r="A5" s="33">
        <v>2</v>
      </c>
      <c r="B5" s="48" t="str">
        <f>IFERROR(VLOOKUP(A5,CIERRE!$B:$E,2,FALSE),"")</f>
        <v>BIOSERVICIOS S.A.S.</v>
      </c>
      <c r="C5" s="33" t="s">
        <v>79</v>
      </c>
      <c r="D5" s="48" t="s">
        <v>148</v>
      </c>
      <c r="E5" s="48" t="s">
        <v>165</v>
      </c>
      <c r="F5" s="48" t="s">
        <v>166</v>
      </c>
      <c r="G5" s="33" t="s">
        <v>79</v>
      </c>
      <c r="H5" s="22">
        <v>46072</v>
      </c>
      <c r="I5" s="33" t="s">
        <v>15</v>
      </c>
      <c r="J5" s="33" t="s">
        <v>115</v>
      </c>
      <c r="K5" s="2" t="s">
        <v>15</v>
      </c>
      <c r="L5" s="2" t="s">
        <v>15</v>
      </c>
      <c r="M5" s="12">
        <v>0</v>
      </c>
      <c r="N5" s="9" t="s">
        <v>15</v>
      </c>
      <c r="O5" s="5" t="s">
        <v>15</v>
      </c>
      <c r="P5" s="2" t="s">
        <v>167</v>
      </c>
      <c r="Q5" s="9" t="s">
        <v>70</v>
      </c>
      <c r="R5" s="9" t="s">
        <v>70</v>
      </c>
      <c r="S5" s="2" t="s">
        <v>148</v>
      </c>
      <c r="T5" s="9" t="s">
        <v>112</v>
      </c>
      <c r="U5" s="33" t="s">
        <v>15</v>
      </c>
      <c r="V5" s="9" t="s">
        <v>70</v>
      </c>
      <c r="W5" s="9" t="s">
        <v>79</v>
      </c>
      <c r="X5" s="9" t="s">
        <v>79</v>
      </c>
      <c r="Y5" s="5">
        <v>46063</v>
      </c>
      <c r="Z5" s="9" t="s">
        <v>112</v>
      </c>
      <c r="AA5" s="9" t="s">
        <v>70</v>
      </c>
      <c r="AB5" s="9" t="s">
        <v>70</v>
      </c>
      <c r="AC5" s="48" t="s">
        <v>168</v>
      </c>
      <c r="AD5" s="22">
        <v>46173</v>
      </c>
      <c r="AE5" s="46">
        <v>38427933.200000003</v>
      </c>
      <c r="AF5" s="33" t="s">
        <v>70</v>
      </c>
      <c r="AG5" s="2" t="s">
        <v>116</v>
      </c>
      <c r="AH5" s="2" t="s">
        <v>116</v>
      </c>
      <c r="AI5" s="2" t="s">
        <v>116</v>
      </c>
      <c r="AJ5" s="2" t="s">
        <v>116</v>
      </c>
      <c r="AK5" s="9" t="s">
        <v>70</v>
      </c>
      <c r="AL5" s="33" t="s">
        <v>70</v>
      </c>
      <c r="AM5" s="9" t="s">
        <v>70</v>
      </c>
      <c r="AN5" s="9" t="s">
        <v>70</v>
      </c>
      <c r="AO5" s="2" t="s">
        <v>70</v>
      </c>
      <c r="AP5" s="33" t="s">
        <v>67</v>
      </c>
      <c r="AQ5" s="62"/>
      <c r="AR5" s="52"/>
      <c r="AS5" s="52"/>
    </row>
    <row r="6" spans="1:45" ht="27" customHeight="1" x14ac:dyDescent="0.25">
      <c r="A6" s="33">
        <v>3</v>
      </c>
      <c r="B6" s="48" t="str">
        <f>IFERROR(VLOOKUP(A6,CIERRE!$B:$E,2,FALSE),"")</f>
        <v>INGEVIAL PYM S.A.S.</v>
      </c>
      <c r="C6" s="33" t="s">
        <v>79</v>
      </c>
      <c r="D6" s="48" t="s">
        <v>133</v>
      </c>
      <c r="E6" s="48" t="s">
        <v>169</v>
      </c>
      <c r="F6" s="48" t="s">
        <v>170</v>
      </c>
      <c r="G6" s="33" t="s">
        <v>79</v>
      </c>
      <c r="H6" s="22">
        <v>46076</v>
      </c>
      <c r="I6" s="33" t="s">
        <v>15</v>
      </c>
      <c r="J6" s="33" t="s">
        <v>115</v>
      </c>
      <c r="K6" s="2" t="s">
        <v>15</v>
      </c>
      <c r="L6" s="2" t="s">
        <v>15</v>
      </c>
      <c r="M6" s="12">
        <v>0</v>
      </c>
      <c r="N6" s="9" t="s">
        <v>15</v>
      </c>
      <c r="O6" s="5" t="s">
        <v>15</v>
      </c>
      <c r="P6" s="2" t="s">
        <v>167</v>
      </c>
      <c r="Q6" s="9" t="s">
        <v>70</v>
      </c>
      <c r="R6" s="9" t="s">
        <v>70</v>
      </c>
      <c r="S6" s="2" t="s">
        <v>133</v>
      </c>
      <c r="T6" s="9" t="s">
        <v>112</v>
      </c>
      <c r="U6" s="33" t="s">
        <v>15</v>
      </c>
      <c r="V6" s="9" t="s">
        <v>15</v>
      </c>
      <c r="W6" s="9" t="s">
        <v>79</v>
      </c>
      <c r="X6" s="9" t="s">
        <v>79</v>
      </c>
      <c r="Y6" s="5">
        <v>45929</v>
      </c>
      <c r="Z6" s="9" t="s">
        <v>112</v>
      </c>
      <c r="AA6" s="9" t="s">
        <v>70</v>
      </c>
      <c r="AB6" s="9" t="s">
        <v>70</v>
      </c>
      <c r="AC6" s="48" t="s">
        <v>171</v>
      </c>
      <c r="AD6" s="22">
        <v>46178</v>
      </c>
      <c r="AE6" s="46">
        <v>38428000</v>
      </c>
      <c r="AF6" s="33" t="s">
        <v>70</v>
      </c>
      <c r="AG6" s="2" t="s">
        <v>116</v>
      </c>
      <c r="AH6" s="2" t="s">
        <v>116</v>
      </c>
      <c r="AI6" s="2" t="s">
        <v>116</v>
      </c>
      <c r="AJ6" s="2" t="s">
        <v>116</v>
      </c>
      <c r="AK6" s="9" t="s">
        <v>70</v>
      </c>
      <c r="AL6" s="33" t="s">
        <v>70</v>
      </c>
      <c r="AM6" s="9" t="s">
        <v>15</v>
      </c>
      <c r="AN6" s="9" t="s">
        <v>15</v>
      </c>
      <c r="AO6" s="2" t="s">
        <v>70</v>
      </c>
      <c r="AP6" s="33" t="s">
        <v>67</v>
      </c>
      <c r="AQ6" s="62" t="s">
        <v>173</v>
      </c>
      <c r="AR6" s="52"/>
    </row>
    <row r="7" spans="1:45" ht="27" customHeight="1" x14ac:dyDescent="0.25">
      <c r="A7" s="33">
        <v>4</v>
      </c>
      <c r="B7" s="48" t="str">
        <f>IFERROR(VLOOKUP(A7,CIERRE!$B:$E,2,FALSE),"")</f>
        <v>GRUPO YACAR INGENIERIA S.A.S</v>
      </c>
      <c r="C7" s="33" t="s">
        <v>79</v>
      </c>
      <c r="D7" s="48" t="s">
        <v>141</v>
      </c>
      <c r="E7" s="48" t="s">
        <v>161</v>
      </c>
      <c r="F7" s="48" t="s">
        <v>172</v>
      </c>
      <c r="G7" s="33" t="s">
        <v>79</v>
      </c>
      <c r="H7" s="22">
        <v>46076</v>
      </c>
      <c r="I7" s="33" t="s">
        <v>15</v>
      </c>
      <c r="J7" s="33" t="s">
        <v>115</v>
      </c>
      <c r="K7" s="2" t="s">
        <v>15</v>
      </c>
      <c r="L7" s="2" t="s">
        <v>15</v>
      </c>
      <c r="M7" s="12">
        <v>0</v>
      </c>
      <c r="N7" s="9" t="s">
        <v>15</v>
      </c>
      <c r="O7" s="5" t="s">
        <v>15</v>
      </c>
      <c r="P7" s="2" t="s">
        <v>167</v>
      </c>
      <c r="Q7" s="9" t="s">
        <v>70</v>
      </c>
      <c r="R7" s="9" t="s">
        <v>70</v>
      </c>
      <c r="S7" s="2" t="s">
        <v>141</v>
      </c>
      <c r="T7" s="9" t="s">
        <v>112</v>
      </c>
      <c r="U7" s="33" t="s">
        <v>15</v>
      </c>
      <c r="V7" s="9" t="s">
        <v>15</v>
      </c>
      <c r="W7" s="9" t="s">
        <v>79</v>
      </c>
      <c r="X7" s="9" t="s">
        <v>79</v>
      </c>
      <c r="Y7" s="5">
        <v>46076</v>
      </c>
      <c r="Z7" s="9" t="s">
        <v>112</v>
      </c>
      <c r="AA7" s="9" t="s">
        <v>70</v>
      </c>
      <c r="AB7" s="9" t="s">
        <v>70</v>
      </c>
      <c r="AC7" s="48" t="s">
        <v>140</v>
      </c>
      <c r="AD7" s="22">
        <v>46178</v>
      </c>
      <c r="AE7" s="46">
        <v>38427933.200000003</v>
      </c>
      <c r="AF7" s="33" t="s">
        <v>70</v>
      </c>
      <c r="AG7" s="2" t="s">
        <v>70</v>
      </c>
      <c r="AH7" s="2" t="s">
        <v>70</v>
      </c>
      <c r="AI7" s="2" t="s">
        <v>70</v>
      </c>
      <c r="AJ7" s="2" t="s">
        <v>70</v>
      </c>
      <c r="AK7" s="9" t="s">
        <v>70</v>
      </c>
      <c r="AL7" s="33" t="s">
        <v>70</v>
      </c>
      <c r="AM7" s="9" t="s">
        <v>15</v>
      </c>
      <c r="AN7" s="9" t="s">
        <v>15</v>
      </c>
      <c r="AO7" s="2" t="s">
        <v>70</v>
      </c>
      <c r="AP7" s="33" t="s">
        <v>67</v>
      </c>
      <c r="AQ7" s="62"/>
      <c r="AR7" s="52"/>
    </row>
  </sheetData>
  <mergeCells count="10">
    <mergeCell ref="AC2:AF2"/>
    <mergeCell ref="AG2:AO2"/>
    <mergeCell ref="AP2:AP3"/>
    <mergeCell ref="AQ2:AQ3"/>
    <mergeCell ref="A2:A3"/>
    <mergeCell ref="B2:B3"/>
    <mergeCell ref="C2:H2"/>
    <mergeCell ref="I2:M2"/>
    <mergeCell ref="N2:W2"/>
    <mergeCell ref="X2:AB2"/>
  </mergeCells>
  <conditionalFormatting sqref="G4:G7 Q4:R7 T4:X7 Z4:AB7 C4:C54">
    <cfRule type="cellIs" dxfId="41" priority="15" operator="equal">
      <formula>"NO PRESENTA"</formula>
    </cfRule>
    <cfRule type="cellIs" dxfId="40" priority="16" operator="equal">
      <formula>"PRESENTA"</formula>
    </cfRule>
  </conditionalFormatting>
  <conditionalFormatting sqref="I4:I7">
    <cfRule type="cellIs" dxfId="39" priority="3" operator="equal">
      <formula>"NO PRESENTA"</formula>
    </cfRule>
    <cfRule type="cellIs" dxfId="38" priority="4" operator="equal">
      <formula>"PRESENTA"</formula>
    </cfRule>
  </conditionalFormatting>
  <conditionalFormatting sqref="N4:N7">
    <cfRule type="cellIs" dxfId="37" priority="1" operator="equal">
      <formula>"NO PRESENTA"</formula>
    </cfRule>
    <cfRule type="cellIs" dxfId="36" priority="2" operator="equal">
      <formula>"PRESENTA"</formula>
    </cfRule>
  </conditionalFormatting>
  <conditionalFormatting sqref="Q4:R7 U4:V7 AA4:AB7 AF4:AO7">
    <cfRule type="cellIs" dxfId="35" priority="13" operator="equal">
      <formula>"NO CUMPLE"</formula>
    </cfRule>
    <cfRule type="cellIs" dxfId="34" priority="14" operator="equal">
      <formula>"CUMPLE"</formula>
    </cfRule>
  </conditionalFormatting>
  <conditionalFormatting sqref="AF4:AF7">
    <cfRule type="cellIs" dxfId="33" priority="11" operator="equal">
      <formula>"NO PRESENTA"</formula>
    </cfRule>
    <cfRule type="cellIs" dxfId="32" priority="12" operator="equal">
      <formula>"PRESENTA"</formula>
    </cfRule>
  </conditionalFormatting>
  <conditionalFormatting sqref="AG4:AO7">
    <cfRule type="cellIs" dxfId="31" priority="5" operator="equal">
      <formula>"CONSULTADO ENTIDAD"</formula>
    </cfRule>
  </conditionalFormatting>
  <conditionalFormatting sqref="AK4:AN7">
    <cfRule type="cellIs" dxfId="30" priority="9" operator="equal">
      <formula>"NO PRESENTA"</formula>
    </cfRule>
    <cfRule type="cellIs" dxfId="29" priority="10" operator="equal">
      <formula>"PRESENTA"</formula>
    </cfRule>
  </conditionalFormatting>
  <conditionalFormatting sqref="AP1:AP1048576">
    <cfRule type="cellIs" dxfId="28" priority="6" operator="equal">
      <formula>"SUBSANAR"</formula>
    </cfRule>
    <cfRule type="cellIs" dxfId="27" priority="7" operator="equal">
      <formula>"NO HABIL"</formula>
    </cfRule>
  </conditionalFormatting>
  <conditionalFormatting sqref="AP4:AP7">
    <cfRule type="cellIs" dxfId="26" priority="8" operator="equal">
      <formula>"HABIL"</formula>
    </cfRule>
  </conditionalFormatting>
  <pageMargins left="0.7" right="0.7" top="0.75" bottom="0.75" header="0.3" footer="0.3"/>
  <pageSetup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80E5C-6167-47E7-B885-76A5AE109E0E}">
  <dimension ref="A1:X12"/>
  <sheetViews>
    <sheetView zoomScaleNormal="100" workbookViewId="0">
      <pane xSplit="2" ySplit="3" topLeftCell="Q4" activePane="bottomRight" state="frozen"/>
      <selection pane="topRight" activeCell="D1" sqref="D1"/>
      <selection pane="bottomLeft" activeCell="A4" sqref="A4"/>
      <selection pane="bottomRight" activeCell="V5" sqref="V5"/>
    </sheetView>
  </sheetViews>
  <sheetFormatPr baseColWidth="10" defaultRowHeight="15" x14ac:dyDescent="0.25"/>
  <cols>
    <col min="1" max="1" width="3.5703125" bestFit="1" customWidth="1"/>
    <col min="2" max="2" width="34" bestFit="1" customWidth="1"/>
    <col min="3" max="3" width="21.7109375" bestFit="1" customWidth="1"/>
    <col min="4" max="4" width="11.42578125" customWidth="1"/>
    <col min="6" max="10" width="19.28515625" bestFit="1" customWidth="1"/>
    <col min="11" max="11" width="18.28515625" bestFit="1" customWidth="1"/>
    <col min="12" max="12" width="19.28515625" bestFit="1" customWidth="1"/>
    <col min="13" max="13" width="8.42578125" bestFit="1" customWidth="1"/>
    <col min="14" max="14" width="15" bestFit="1" customWidth="1"/>
    <col min="15" max="15" width="15.85546875" bestFit="1" customWidth="1"/>
    <col min="16" max="16" width="19.28515625" bestFit="1" customWidth="1"/>
    <col min="17" max="17" width="12.85546875" bestFit="1" customWidth="1"/>
    <col min="18" max="18" width="14.42578125" bestFit="1" customWidth="1"/>
    <col min="19" max="19" width="11" customWidth="1"/>
    <col min="20" max="20" width="15.28515625" customWidth="1"/>
    <col min="21" max="21" width="15.5703125" customWidth="1"/>
    <col min="22" max="22" width="72.28515625" customWidth="1"/>
  </cols>
  <sheetData>
    <row r="1" spans="1:24" x14ac:dyDescent="0.25">
      <c r="L1" s="20">
        <f>+INFORMACION!C14</f>
        <v>126812179.56</v>
      </c>
    </row>
    <row r="2" spans="1:24" x14ac:dyDescent="0.25">
      <c r="A2" s="73" t="s">
        <v>11</v>
      </c>
      <c r="B2" s="73" t="s">
        <v>36</v>
      </c>
      <c r="C2" s="73" t="s">
        <v>46</v>
      </c>
      <c r="D2" s="73" t="s">
        <v>47</v>
      </c>
      <c r="E2" s="73" t="s">
        <v>48</v>
      </c>
      <c r="F2" s="76" t="s">
        <v>49</v>
      </c>
      <c r="G2" s="75"/>
      <c r="H2" s="75"/>
      <c r="I2" s="75"/>
      <c r="J2" s="75"/>
      <c r="K2" s="75"/>
      <c r="L2" s="76" t="s">
        <v>50</v>
      </c>
      <c r="M2" s="75"/>
      <c r="N2" s="75"/>
      <c r="O2" s="26"/>
      <c r="P2" s="27"/>
      <c r="Q2" s="73" t="s">
        <v>51</v>
      </c>
      <c r="R2" s="75"/>
      <c r="S2" s="73" t="s">
        <v>50</v>
      </c>
      <c r="T2" s="73" t="s">
        <v>51</v>
      </c>
      <c r="U2" s="73" t="s">
        <v>52</v>
      </c>
      <c r="V2" s="73" t="s">
        <v>53</v>
      </c>
    </row>
    <row r="3" spans="1:24" ht="36" x14ac:dyDescent="0.25">
      <c r="A3" s="75"/>
      <c r="B3" s="75"/>
      <c r="C3" s="75"/>
      <c r="D3" s="75"/>
      <c r="E3" s="75"/>
      <c r="F3" s="25" t="s">
        <v>54</v>
      </c>
      <c r="G3" s="25" t="s">
        <v>55</v>
      </c>
      <c r="H3" s="25" t="s">
        <v>56</v>
      </c>
      <c r="I3" s="25" t="s">
        <v>57</v>
      </c>
      <c r="J3" s="25" t="s">
        <v>58</v>
      </c>
      <c r="K3" s="25" t="s">
        <v>59</v>
      </c>
      <c r="L3" s="25" t="s">
        <v>60</v>
      </c>
      <c r="M3" s="25" t="s">
        <v>61</v>
      </c>
      <c r="N3" s="25" t="s">
        <v>62</v>
      </c>
      <c r="O3" s="25" t="s">
        <v>63</v>
      </c>
      <c r="P3" s="25" t="s">
        <v>64</v>
      </c>
      <c r="Q3" s="28" t="s">
        <v>65</v>
      </c>
      <c r="R3" s="28" t="s">
        <v>66</v>
      </c>
      <c r="S3" s="74"/>
      <c r="T3" s="75"/>
      <c r="U3" s="75"/>
      <c r="V3" s="75"/>
    </row>
    <row r="4" spans="1:24" x14ac:dyDescent="0.25">
      <c r="A4" s="33">
        <v>1</v>
      </c>
      <c r="B4" s="48" t="str">
        <f>IFERROR(VLOOKUP(A4,CIERRE!$B:$E,2,FALSE),"")</f>
        <v>JULIAN ANDRES GOMEZ RAMIREZ</v>
      </c>
      <c r="C4" s="60" t="s">
        <v>15</v>
      </c>
      <c r="D4" s="12">
        <v>1</v>
      </c>
      <c r="E4" s="33" t="s">
        <v>70</v>
      </c>
      <c r="F4" s="43">
        <v>379358377</v>
      </c>
      <c r="G4" s="43">
        <v>1203843523</v>
      </c>
      <c r="H4" s="43">
        <v>125334</v>
      </c>
      <c r="I4" s="43">
        <v>34776421</v>
      </c>
      <c r="J4" s="43">
        <v>313247992</v>
      </c>
      <c r="K4" s="43">
        <v>2951034</v>
      </c>
      <c r="L4" s="59">
        <f>($F4-$H4)</f>
        <v>379233043</v>
      </c>
      <c r="M4" s="42">
        <f>IFERROR(((F4))/((H4)),0)</f>
        <v>3026.7794612794614</v>
      </c>
      <c r="N4" s="53">
        <f>IFERROR(((I4))/((G4)),0)</f>
        <v>2.8887824983546469E-2</v>
      </c>
      <c r="O4" s="42">
        <f>IFERROR(((J4))/((K4)),0)</f>
        <v>106.14855403224767</v>
      </c>
      <c r="P4" s="43">
        <f>+G4-I4</f>
        <v>1169067102</v>
      </c>
      <c r="Q4" s="42">
        <f>IFERROR(((J4))/((P4)),0)</f>
        <v>0.26794697367166181</v>
      </c>
      <c r="R4" s="42">
        <f>IFERROR(((J4))/((G4)),0)</f>
        <v>0.26020656839136391</v>
      </c>
      <c r="S4" s="33" t="s">
        <v>67</v>
      </c>
      <c r="T4" s="33" t="s">
        <v>67</v>
      </c>
      <c r="U4" s="9" t="s">
        <v>67</v>
      </c>
      <c r="V4" s="3" t="s">
        <v>174</v>
      </c>
      <c r="X4" s="8"/>
    </row>
    <row r="5" spans="1:24" ht="405" x14ac:dyDescent="0.25">
      <c r="A5" s="33">
        <v>2</v>
      </c>
      <c r="B5" s="48" t="str">
        <f>IFERROR(VLOOKUP(A5,CIERRE!$B:$E,2,FALSE),"")</f>
        <v>BIOSERVICIOS S.A.S.</v>
      </c>
      <c r="C5" s="60" t="s">
        <v>15</v>
      </c>
      <c r="D5" s="12">
        <v>1</v>
      </c>
      <c r="E5" s="13" t="s">
        <v>70</v>
      </c>
      <c r="F5" s="4">
        <v>4353569214</v>
      </c>
      <c r="G5" s="4">
        <v>4894404877</v>
      </c>
      <c r="H5" s="4">
        <v>1860076449</v>
      </c>
      <c r="I5" s="4">
        <v>2230416086</v>
      </c>
      <c r="J5" s="4">
        <v>358209937</v>
      </c>
      <c r="K5" s="4">
        <v>32451000</v>
      </c>
      <c r="L5" s="59">
        <f>($F5-$H5)</f>
        <v>2493492765</v>
      </c>
      <c r="M5" s="42">
        <f t="shared" ref="M5:M7" si="0">IFERROR(((F5))/((H5)),0)</f>
        <v>2.3405324100203151</v>
      </c>
      <c r="N5" s="53">
        <f t="shared" ref="N5:N7" si="1">IFERROR(((I5))/((G5)),0)</f>
        <v>0.45570731111381246</v>
      </c>
      <c r="O5" s="42">
        <f t="shared" ref="O5:O7" si="2">IFERROR(((J5))/((K5)),0)</f>
        <v>11.038486857107639</v>
      </c>
      <c r="P5" s="43">
        <f t="shared" ref="P5:P7" si="3">+G5-I5</f>
        <v>2663988791</v>
      </c>
      <c r="Q5" s="42">
        <f t="shared" ref="Q5:Q7" si="4">IFERROR(((J5))/((P5)),0)</f>
        <v>0.13446375533191948</v>
      </c>
      <c r="R5" s="42">
        <f t="shared" ref="R5:R7" si="5">IFERROR(((J5))/((G5)),0)</f>
        <v>7.3187638947344896E-2</v>
      </c>
      <c r="S5" s="33" t="s">
        <v>67</v>
      </c>
      <c r="T5" s="33" t="s">
        <v>67</v>
      </c>
      <c r="U5" s="9" t="s">
        <v>68</v>
      </c>
      <c r="V5" s="3" t="s">
        <v>175</v>
      </c>
      <c r="X5" s="8"/>
    </row>
    <row r="6" spans="1:24" x14ac:dyDescent="0.25">
      <c r="A6" s="33">
        <v>3</v>
      </c>
      <c r="B6" s="48" t="str">
        <f>IFERROR(VLOOKUP(A6,CIERRE!$B:$E,2,FALSE),"")</f>
        <v>INGEVIAL PYM S.A.S.</v>
      </c>
      <c r="C6" s="60" t="s">
        <v>15</v>
      </c>
      <c r="D6" s="12">
        <v>1</v>
      </c>
      <c r="E6" s="33" t="s">
        <v>70</v>
      </c>
      <c r="F6" s="43">
        <v>1598571100</v>
      </c>
      <c r="G6" s="43">
        <v>2687248735</v>
      </c>
      <c r="H6" s="43">
        <v>57760459</v>
      </c>
      <c r="I6" s="43">
        <v>57760459</v>
      </c>
      <c r="J6" s="43">
        <v>2118124201</v>
      </c>
      <c r="K6" s="43">
        <v>1920000</v>
      </c>
      <c r="L6" s="59">
        <f t="shared" ref="L6:L7" si="6">($F6-$H6)</f>
        <v>1540810641</v>
      </c>
      <c r="M6" s="42">
        <f t="shared" si="0"/>
        <v>27.675872520334369</v>
      </c>
      <c r="N6" s="53">
        <f t="shared" si="1"/>
        <v>2.1494273398550878E-2</v>
      </c>
      <c r="O6" s="42">
        <f t="shared" si="2"/>
        <v>1103.1896880208333</v>
      </c>
      <c r="P6" s="43">
        <f t="shared" si="3"/>
        <v>2629488276</v>
      </c>
      <c r="Q6" s="42">
        <f t="shared" si="4"/>
        <v>0.80552715154984778</v>
      </c>
      <c r="R6" s="42">
        <f t="shared" si="5"/>
        <v>0.7882129307244794</v>
      </c>
      <c r="S6" s="33" t="s">
        <v>67</v>
      </c>
      <c r="T6" s="33" t="s">
        <v>67</v>
      </c>
      <c r="U6" s="9" t="s">
        <v>67</v>
      </c>
      <c r="V6" s="3" t="s">
        <v>174</v>
      </c>
      <c r="X6" s="8"/>
    </row>
    <row r="7" spans="1:24" x14ac:dyDescent="0.25">
      <c r="A7" s="33">
        <v>4</v>
      </c>
      <c r="B7" s="48" t="str">
        <f>IFERROR(VLOOKUP(A7,CIERRE!$B:$E,2,FALSE),"")</f>
        <v>GRUPO YACAR INGENIERIA S.A.S</v>
      </c>
      <c r="C7" s="60" t="s">
        <v>15</v>
      </c>
      <c r="D7" s="12">
        <v>1</v>
      </c>
      <c r="E7" s="13" t="s">
        <v>70</v>
      </c>
      <c r="F7" s="4">
        <v>1075445000</v>
      </c>
      <c r="G7" s="4">
        <v>1140470000</v>
      </c>
      <c r="H7" s="4">
        <v>22310000</v>
      </c>
      <c r="I7" s="4">
        <v>22310000</v>
      </c>
      <c r="J7" s="4">
        <v>118160000</v>
      </c>
      <c r="K7" s="4">
        <v>0</v>
      </c>
      <c r="L7" s="59">
        <f t="shared" si="6"/>
        <v>1053135000</v>
      </c>
      <c r="M7" s="42">
        <f t="shared" si="0"/>
        <v>48.204616763783058</v>
      </c>
      <c r="N7" s="53">
        <f t="shared" si="1"/>
        <v>1.9562110358010296E-2</v>
      </c>
      <c r="O7" s="42">
        <f t="shared" si="2"/>
        <v>0</v>
      </c>
      <c r="P7" s="43">
        <f t="shared" si="3"/>
        <v>1118160000</v>
      </c>
      <c r="Q7" s="42">
        <f t="shared" si="4"/>
        <v>0.10567360663947914</v>
      </c>
      <c r="R7" s="42">
        <f t="shared" si="5"/>
        <v>0.10360640788446869</v>
      </c>
      <c r="S7" s="33" t="s">
        <v>67</v>
      </c>
      <c r="T7" s="33" t="s">
        <v>67</v>
      </c>
      <c r="U7" s="2" t="s">
        <v>67</v>
      </c>
      <c r="V7" s="3"/>
      <c r="X7" s="8"/>
    </row>
    <row r="12" spans="1:24" x14ac:dyDescent="0.25">
      <c r="G12" s="55"/>
    </row>
  </sheetData>
  <mergeCells count="12">
    <mergeCell ref="S2:S3"/>
    <mergeCell ref="T2:T3"/>
    <mergeCell ref="U2:U3"/>
    <mergeCell ref="V2:V3"/>
    <mergeCell ref="A2:A3"/>
    <mergeCell ref="B2:B3"/>
    <mergeCell ref="C2:C3"/>
    <mergeCell ref="D2:D3"/>
    <mergeCell ref="E2:E3"/>
    <mergeCell ref="F2:K2"/>
    <mergeCell ref="L2:N2"/>
    <mergeCell ref="Q2:R2"/>
  </mergeCells>
  <conditionalFormatting sqref="E1:E1048576">
    <cfRule type="cellIs" dxfId="25" priority="7" operator="equal">
      <formula>"NO CUMPLE"</formula>
    </cfRule>
    <cfRule type="cellIs" dxfId="24" priority="8" operator="equal">
      <formula>"CUMPLE"</formula>
    </cfRule>
  </conditionalFormatting>
  <conditionalFormatting sqref="S1:U3 S8:U1048576">
    <cfRule type="cellIs" dxfId="23" priority="4" operator="equal">
      <formula>"SUBSANAR"</formula>
    </cfRule>
    <cfRule type="cellIs" dxfId="22" priority="5" operator="equal">
      <formula>"NO HABIL"</formula>
    </cfRule>
    <cfRule type="cellIs" dxfId="21" priority="6" operator="equal">
      <formula>"HABIL"</formula>
    </cfRule>
  </conditionalFormatting>
  <conditionalFormatting sqref="S2:U3">
    <cfRule type="cellIs" dxfId="20" priority="15" operator="equal">
      <formula>"NO HÁBIL"</formula>
    </cfRule>
    <cfRule type="cellIs" dxfId="19" priority="16" operator="equal">
      <formula>"SUBSANAR"</formula>
    </cfRule>
  </conditionalFormatting>
  <conditionalFormatting sqref="S4:U7">
    <cfRule type="cellIs" dxfId="8" priority="1" operator="equal">
      <formula>"SUBSANAR"</formula>
    </cfRule>
    <cfRule type="cellIs" dxfId="7" priority="2" operator="equal">
      <formula>"NO HABIL"</formula>
    </cfRule>
    <cfRule type="cellIs" dxfId="6" priority="3" operator="equal">
      <formula>"HABIL"</formula>
    </cfRule>
  </conditionalFormatting>
  <pageMargins left="0.7" right="0.7" top="0.75" bottom="0.75" header="0.3" footer="0.3"/>
  <pageSetup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E4C4C-4156-4A52-A0BA-AF50C364B89B}">
  <dimension ref="A2:AF13"/>
  <sheetViews>
    <sheetView topLeftCell="A3" zoomScaleNormal="100" workbookViewId="0">
      <pane xSplit="2" ySplit="1" topLeftCell="N13" activePane="bottomRight" state="frozen"/>
      <selection activeCell="A3" sqref="A3"/>
      <selection pane="topRight" activeCell="C3" sqref="C3"/>
      <selection pane="bottomLeft" activeCell="A4" sqref="A4"/>
      <selection pane="bottomRight" activeCell="P17" sqref="P17"/>
    </sheetView>
  </sheetViews>
  <sheetFormatPr baseColWidth="10" defaultRowHeight="15" x14ac:dyDescent="0.25"/>
  <cols>
    <col min="1" max="1" width="4.140625" style="45" bestFit="1" customWidth="1"/>
    <col min="2" max="2" width="34" bestFit="1" customWidth="1"/>
    <col min="3" max="3" width="39.42578125" bestFit="1" customWidth="1"/>
    <col min="4" max="4" width="42.140625" customWidth="1"/>
    <col min="5" max="5" width="26" bestFit="1" customWidth="1"/>
    <col min="6" max="6" width="9.85546875" customWidth="1"/>
    <col min="7" max="7" width="8.28515625" customWidth="1"/>
    <col min="8" max="8" width="15.140625" customWidth="1"/>
    <col min="9" max="9" width="17.85546875" customWidth="1"/>
    <col min="10" max="10" width="13.85546875" customWidth="1"/>
    <col min="11" max="11" width="19.140625" customWidth="1"/>
    <col min="12" max="12" width="22" customWidth="1"/>
    <col min="13" max="13" width="26.28515625" customWidth="1"/>
    <col min="14" max="14" width="14.42578125" customWidth="1"/>
    <col min="15" max="15" width="13.5703125" customWidth="1"/>
    <col min="16" max="16" width="111.7109375" customWidth="1"/>
    <col min="17" max="20" width="18.85546875" customWidth="1"/>
  </cols>
  <sheetData>
    <row r="2" spans="1:32" x14ac:dyDescent="0.25">
      <c r="O2" s="47"/>
    </row>
    <row r="3" spans="1:32" ht="75" x14ac:dyDescent="0.25">
      <c r="A3" s="15" t="s">
        <v>11</v>
      </c>
      <c r="B3" s="15" t="s">
        <v>12</v>
      </c>
      <c r="C3" s="15" t="s">
        <v>16</v>
      </c>
      <c r="D3" s="15" t="s">
        <v>17</v>
      </c>
      <c r="E3" s="15" t="s">
        <v>18</v>
      </c>
      <c r="F3" s="15" t="s">
        <v>19</v>
      </c>
      <c r="G3" s="15" t="s">
        <v>20</v>
      </c>
      <c r="H3" s="15" t="s">
        <v>21</v>
      </c>
      <c r="I3" s="15" t="s">
        <v>22</v>
      </c>
      <c r="J3" s="15" t="s">
        <v>23</v>
      </c>
      <c r="K3" s="15" t="s">
        <v>24</v>
      </c>
      <c r="L3" s="15" t="s">
        <v>25</v>
      </c>
      <c r="M3" s="15" t="s">
        <v>26</v>
      </c>
      <c r="N3" s="15" t="s">
        <v>27</v>
      </c>
      <c r="O3" s="15" t="s">
        <v>122</v>
      </c>
      <c r="P3" s="15" t="s">
        <v>28</v>
      </c>
      <c r="Q3" s="16"/>
      <c r="R3" s="16"/>
      <c r="S3" s="16"/>
      <c r="T3" s="16"/>
      <c r="U3" s="77" t="s">
        <v>29</v>
      </c>
      <c r="V3" s="77"/>
      <c r="W3" s="78" t="s">
        <v>30</v>
      </c>
      <c r="X3" s="79"/>
      <c r="Y3" s="78" t="s">
        <v>31</v>
      </c>
      <c r="Z3" s="79"/>
      <c r="AA3" s="78" t="s">
        <v>32</v>
      </c>
      <c r="AB3" s="79"/>
    </row>
    <row r="4" spans="1:32" s="8" customFormat="1" ht="409.5" x14ac:dyDescent="0.25">
      <c r="A4" s="33">
        <v>1</v>
      </c>
      <c r="B4" s="9" t="str">
        <f>IF($A4="","",VLOOKUP($A4,CIERRE!$B:$E,2,FALSE))</f>
        <v>JULIAN ANDRES GOMEZ RAMIREZ</v>
      </c>
      <c r="C4" s="9" t="s">
        <v>138</v>
      </c>
      <c r="D4" s="23" t="s">
        <v>145</v>
      </c>
      <c r="E4" s="9" t="s">
        <v>146</v>
      </c>
      <c r="F4" s="33" t="s">
        <v>115</v>
      </c>
      <c r="G4" s="12">
        <v>1</v>
      </c>
      <c r="H4" s="44">
        <v>43034</v>
      </c>
      <c r="I4" s="22">
        <v>43183</v>
      </c>
      <c r="J4" s="18">
        <f>+AC4+AD4+AE4+AF4</f>
        <v>0</v>
      </c>
      <c r="K4" s="18">
        <f>IF(H4="",0,ROUND(((((I4-H4)+1)/360)*12)-J4,3))</f>
        <v>5</v>
      </c>
      <c r="L4" s="43">
        <v>518001948</v>
      </c>
      <c r="M4" s="43">
        <f>ROUND(L4*G4,3)</f>
        <v>518001948</v>
      </c>
      <c r="N4" s="49">
        <f>IF(I4="",0,ROUND(M4/VLOOKUP(YEAR(I4),SMMLV!$C$3:$D$32,2,FALSE),2))</f>
        <v>663.05</v>
      </c>
      <c r="O4" s="50">
        <f>IFERROR(N4/(INFORMACION!$C$21),)</f>
        <v>3.0211418417095728</v>
      </c>
      <c r="P4" s="3" t="s">
        <v>176</v>
      </c>
      <c r="U4" s="9"/>
      <c r="V4" s="9"/>
      <c r="W4" s="9"/>
      <c r="X4" s="9"/>
      <c r="Y4" s="9"/>
      <c r="Z4" s="9"/>
      <c r="AA4" s="9"/>
      <c r="AB4" s="9"/>
      <c r="AC4" s="54">
        <f>IF(U4="",0,ROUND((((V4-U4)+1)/30),3))</f>
        <v>0</v>
      </c>
      <c r="AD4" s="54">
        <f>IF(W4="",0,ROUND((((X4-W4)+1)/30),3))</f>
        <v>0</v>
      </c>
      <c r="AE4" s="54">
        <f>IF(Y4="",0,ROUND((((Z4-Y4)+1)/30),3))</f>
        <v>0</v>
      </c>
      <c r="AF4" s="54">
        <f>IF(AA4="",0,ROUND((((AB4-AA4)+1)/30),3))</f>
        <v>0</v>
      </c>
    </row>
    <row r="5" spans="1:32" ht="409.5" x14ac:dyDescent="0.25">
      <c r="A5" s="33">
        <v>1</v>
      </c>
      <c r="B5" s="9" t="str">
        <f>IF($A5="","",VLOOKUP($A5,CIERRE!$B:$E,2,FALSE))</f>
        <v>JULIAN ANDRES GOMEZ RAMIREZ</v>
      </c>
      <c r="C5" s="9" t="s">
        <v>138</v>
      </c>
      <c r="D5" s="23" t="s">
        <v>145</v>
      </c>
      <c r="E5" s="9" t="s">
        <v>147</v>
      </c>
      <c r="F5" s="33" t="s">
        <v>115</v>
      </c>
      <c r="G5" s="12">
        <v>1</v>
      </c>
      <c r="H5" s="44">
        <v>40422</v>
      </c>
      <c r="I5" s="22">
        <v>40563</v>
      </c>
      <c r="J5" s="18">
        <f t="shared" ref="J5:J13" si="0">+AC5+AD5+AE5+AF5</f>
        <v>0</v>
      </c>
      <c r="K5" s="18">
        <f t="shared" ref="K5:K13" si="1">IF(H5="",0,ROUND(((((I5-H5)+1)/360)*12)-J5,3))</f>
        <v>4.7329999999999997</v>
      </c>
      <c r="L5" s="43">
        <v>146762242</v>
      </c>
      <c r="M5" s="43">
        <f t="shared" ref="M5:M13" si="2">ROUND(L5*G5,3)</f>
        <v>146762242</v>
      </c>
      <c r="N5" s="49">
        <f>IF(I5="",0,ROUND(M5/VLOOKUP(YEAR(I5),SMMLV!$C$3:$D$32,2,FALSE),2))</f>
        <v>274.01</v>
      </c>
      <c r="O5" s="50">
        <f>IFERROR(N5/(INFORMACION!$C$21),)</f>
        <v>1.2485077687155419</v>
      </c>
      <c r="P5" s="3" t="s">
        <v>176</v>
      </c>
      <c r="U5" s="2"/>
      <c r="V5" s="2"/>
      <c r="W5" s="2"/>
      <c r="X5" s="2"/>
      <c r="Y5" s="2"/>
      <c r="Z5" s="2"/>
      <c r="AA5" s="2"/>
      <c r="AB5" s="2"/>
      <c r="AC5" s="17">
        <f t="shared" ref="AC5:AC13" si="3">IF(U5="",0,ROUND((((V5-U5)+1)/30),3))</f>
        <v>0</v>
      </c>
      <c r="AD5" s="17">
        <f t="shared" ref="AD5:AD13" si="4">IF(W5="",0,ROUND((((X5-W5)+1)/30),3))</f>
        <v>0</v>
      </c>
      <c r="AE5" s="17">
        <f t="shared" ref="AE5:AE13" si="5">IF(Y5="",0,ROUND((((Z5-Y5)+1)/30),3))</f>
        <v>0</v>
      </c>
      <c r="AF5" s="17">
        <f t="shared" ref="AF5:AF13" si="6">IF(AA5="",0,ROUND((((AB5-AA5)+1)/30),3))</f>
        <v>0</v>
      </c>
    </row>
    <row r="6" spans="1:32" x14ac:dyDescent="0.25">
      <c r="A6" s="33">
        <v>2</v>
      </c>
      <c r="B6" s="9" t="str">
        <f>IF($A6="","",VLOOKUP($A6,CIERRE!$B:$E,2,FALSE))</f>
        <v>BIOSERVICIOS S.A.S.</v>
      </c>
      <c r="C6" s="9" t="s">
        <v>148</v>
      </c>
      <c r="D6" s="23" t="s">
        <v>149</v>
      </c>
      <c r="E6" s="9" t="s">
        <v>151</v>
      </c>
      <c r="F6" s="33" t="s">
        <v>115</v>
      </c>
      <c r="G6" s="12">
        <v>1</v>
      </c>
      <c r="H6" s="44">
        <v>42036</v>
      </c>
      <c r="I6" s="22">
        <v>43524</v>
      </c>
      <c r="J6" s="18">
        <f t="shared" si="0"/>
        <v>1.633</v>
      </c>
      <c r="K6" s="18">
        <f t="shared" si="1"/>
        <v>48</v>
      </c>
      <c r="L6" s="43">
        <v>2007282807</v>
      </c>
      <c r="M6" s="43">
        <f t="shared" si="2"/>
        <v>2007282807</v>
      </c>
      <c r="N6" s="49">
        <f>IF(I6="",0,ROUND(M6/VLOOKUP(YEAR(I6),SMMLV!$C$3:$D$32,2,FALSE),2))</f>
        <v>2423.92</v>
      </c>
      <c r="O6" s="50">
        <f>IFERROR(N6/(INFORMACION!$C$21),)</f>
        <v>11.044425206178522</v>
      </c>
      <c r="P6" s="23"/>
      <c r="U6" s="5">
        <v>43921</v>
      </c>
      <c r="V6" s="5">
        <v>43969</v>
      </c>
      <c r="W6" s="2"/>
      <c r="X6" s="2"/>
      <c r="Y6" s="2"/>
      <c r="Z6" s="2"/>
      <c r="AA6" s="2"/>
      <c r="AB6" s="2"/>
      <c r="AC6" s="17">
        <f t="shared" si="3"/>
        <v>1.633</v>
      </c>
      <c r="AD6" s="17">
        <f t="shared" si="4"/>
        <v>0</v>
      </c>
      <c r="AE6" s="17">
        <f t="shared" si="5"/>
        <v>0</v>
      </c>
      <c r="AF6" s="17">
        <f t="shared" si="6"/>
        <v>0</v>
      </c>
    </row>
    <row r="7" spans="1:32" x14ac:dyDescent="0.25">
      <c r="A7" s="33">
        <v>2</v>
      </c>
      <c r="B7" s="9" t="str">
        <f>IF($A7="","",VLOOKUP($A7,CIERRE!$B:$E,2,FALSE))</f>
        <v>BIOSERVICIOS S.A.S.</v>
      </c>
      <c r="C7" s="48" t="s">
        <v>148</v>
      </c>
      <c r="D7" s="23" t="s">
        <v>150</v>
      </c>
      <c r="E7" s="9" t="s">
        <v>152</v>
      </c>
      <c r="F7" s="33" t="s">
        <v>115</v>
      </c>
      <c r="G7" s="12">
        <v>1</v>
      </c>
      <c r="H7" s="44">
        <v>43497</v>
      </c>
      <c r="I7" s="22">
        <v>43830</v>
      </c>
      <c r="J7" s="18">
        <f t="shared" si="0"/>
        <v>0</v>
      </c>
      <c r="K7" s="18">
        <f t="shared" si="1"/>
        <v>11.132999999999999</v>
      </c>
      <c r="L7" s="43">
        <v>104020168</v>
      </c>
      <c r="M7" s="43">
        <f t="shared" si="2"/>
        <v>104020168</v>
      </c>
      <c r="N7" s="49">
        <f>IF(I7="",0,ROUND(M7/VLOOKUP(YEAR(I7),SMMLV!$C$3:$D$32,2,FALSE),2))</f>
        <v>125.61</v>
      </c>
      <c r="O7" s="21">
        <f>IFERROR(N7/(INFORMACION!$C$21),)</f>
        <v>0.57233334852143802</v>
      </c>
      <c r="P7" s="23"/>
      <c r="U7" s="5"/>
      <c r="V7" s="5"/>
      <c r="W7" s="2"/>
      <c r="X7" s="2"/>
      <c r="Y7" s="2"/>
      <c r="Z7" s="2"/>
      <c r="AA7" s="2"/>
      <c r="AB7" s="2"/>
      <c r="AC7" s="17"/>
      <c r="AD7" s="17"/>
      <c r="AE7" s="17"/>
      <c r="AF7" s="17"/>
    </row>
    <row r="8" spans="1:32" x14ac:dyDescent="0.25">
      <c r="A8" s="33">
        <v>2</v>
      </c>
      <c r="B8" s="9" t="str">
        <f>IF($A8="","",VLOOKUP($A8,CIERRE!$B:$E,2,FALSE))</f>
        <v>BIOSERVICIOS S.A.S.</v>
      </c>
      <c r="C8" s="9" t="s">
        <v>148</v>
      </c>
      <c r="D8" s="23" t="s">
        <v>150</v>
      </c>
      <c r="E8" s="9" t="s">
        <v>153</v>
      </c>
      <c r="F8" s="33" t="s">
        <v>115</v>
      </c>
      <c r="G8" s="12">
        <v>1</v>
      </c>
      <c r="H8" s="44">
        <v>43862</v>
      </c>
      <c r="I8" s="22">
        <v>44196</v>
      </c>
      <c r="J8" s="18">
        <f t="shared" si="0"/>
        <v>0</v>
      </c>
      <c r="K8" s="18">
        <f t="shared" si="1"/>
        <v>11.167</v>
      </c>
      <c r="L8" s="43">
        <v>95592310</v>
      </c>
      <c r="M8" s="43">
        <f t="shared" si="2"/>
        <v>95592310</v>
      </c>
      <c r="N8" s="49">
        <f>IF(I8="",0,ROUND(M8/VLOOKUP(YEAR(I8),SMMLV!$C$3:$D$32,2,FALSE),2))</f>
        <v>108.9</v>
      </c>
      <c r="O8" s="50">
        <f>IFERROR(N8/(INFORMACION!$C$21),)</f>
        <v>0.49619537977855749</v>
      </c>
      <c r="P8" s="23"/>
      <c r="U8" s="5"/>
      <c r="V8" s="5"/>
      <c r="W8" s="2"/>
      <c r="X8" s="2"/>
      <c r="Y8" s="2"/>
      <c r="Z8" s="2"/>
      <c r="AA8" s="2"/>
      <c r="AB8" s="2"/>
      <c r="AC8" s="17"/>
      <c r="AD8" s="17"/>
      <c r="AE8" s="17"/>
      <c r="AF8" s="17"/>
    </row>
    <row r="9" spans="1:32" s="8" customFormat="1" x14ac:dyDescent="0.25">
      <c r="A9" s="33">
        <v>3</v>
      </c>
      <c r="B9" s="9" t="str">
        <f>IF($A9="","",VLOOKUP($A9,CIERRE!$B:$E,2,FALSE))</f>
        <v>INGEVIAL PYM S.A.S.</v>
      </c>
      <c r="C9" s="48" t="s">
        <v>133</v>
      </c>
      <c r="D9" s="23" t="s">
        <v>150</v>
      </c>
      <c r="E9" s="9" t="s">
        <v>154</v>
      </c>
      <c r="F9" s="33" t="s">
        <v>115</v>
      </c>
      <c r="G9" s="12">
        <v>1</v>
      </c>
      <c r="H9" s="44">
        <v>45411</v>
      </c>
      <c r="I9" s="22">
        <v>45657</v>
      </c>
      <c r="J9" s="18">
        <f t="shared" si="0"/>
        <v>0</v>
      </c>
      <c r="K9" s="18">
        <f t="shared" si="1"/>
        <v>8.2330000000000005</v>
      </c>
      <c r="L9" s="43">
        <v>268020160</v>
      </c>
      <c r="M9" s="43">
        <f t="shared" si="2"/>
        <v>268020160</v>
      </c>
      <c r="N9" s="49">
        <f>IF(I9="",0,ROUND(M9/VLOOKUP(YEAR(I9),SMMLV!$C$3:$D$32,2,FALSE),2))</f>
        <v>206.17</v>
      </c>
      <c r="O9" s="50">
        <f>IFERROR(N9/(INFORMACION!$C$21),)</f>
        <v>0.93939946234109439</v>
      </c>
      <c r="P9" s="23"/>
      <c r="U9" s="9"/>
      <c r="V9" s="9"/>
      <c r="W9" s="9"/>
      <c r="X9" s="9"/>
      <c r="Y9" s="9"/>
      <c r="Z9" s="9"/>
      <c r="AA9" s="9"/>
      <c r="AB9" s="9"/>
      <c r="AC9" s="54">
        <f t="shared" si="3"/>
        <v>0</v>
      </c>
      <c r="AD9" s="54">
        <f t="shared" si="4"/>
        <v>0</v>
      </c>
      <c r="AE9" s="54">
        <f t="shared" si="5"/>
        <v>0</v>
      </c>
      <c r="AF9" s="54">
        <f t="shared" si="6"/>
        <v>0</v>
      </c>
    </row>
    <row r="10" spans="1:32" s="8" customFormat="1" ht="409.5" x14ac:dyDescent="0.25">
      <c r="A10" s="33">
        <v>4</v>
      </c>
      <c r="B10" s="9" t="str">
        <f>IF($A10="","",VLOOKUP($A10,CIERRE!$B:$E,2,FALSE))</f>
        <v>GRUPO YACAR INGENIERIA S.A.S</v>
      </c>
      <c r="C10" s="23" t="s">
        <v>161</v>
      </c>
      <c r="D10" s="23" t="s">
        <v>155</v>
      </c>
      <c r="E10" s="48">
        <v>4600002512</v>
      </c>
      <c r="F10" s="33" t="s">
        <v>113</v>
      </c>
      <c r="G10" s="12">
        <v>0.5</v>
      </c>
      <c r="H10" s="44">
        <v>41934</v>
      </c>
      <c r="I10" s="22">
        <v>42035</v>
      </c>
      <c r="J10" s="18">
        <f t="shared" si="0"/>
        <v>0</v>
      </c>
      <c r="K10" s="18">
        <f t="shared" si="1"/>
        <v>3.4</v>
      </c>
      <c r="L10" s="43">
        <v>286757091</v>
      </c>
      <c r="M10" s="43">
        <f t="shared" si="2"/>
        <v>143378545.5</v>
      </c>
      <c r="N10" s="49">
        <f>IF(I10="",0,ROUND(M10/VLOOKUP(YEAR(I10),SMMLV!$C$3:$D$32,2,FALSE),2))</f>
        <v>222.52</v>
      </c>
      <c r="O10" s="61">
        <f>IFERROR(N10/(INFORMACION!$C$21),)</f>
        <v>1.0138971157789221</v>
      </c>
      <c r="P10" s="3" t="s">
        <v>176</v>
      </c>
      <c r="U10" s="9"/>
      <c r="V10" s="9"/>
      <c r="W10" s="9"/>
      <c r="X10" s="9"/>
      <c r="Y10" s="9"/>
      <c r="Z10" s="9"/>
      <c r="AA10" s="9"/>
      <c r="AB10" s="9"/>
      <c r="AC10" s="54">
        <f t="shared" si="3"/>
        <v>0</v>
      </c>
      <c r="AD10" s="54">
        <f t="shared" si="4"/>
        <v>0</v>
      </c>
      <c r="AE10" s="54">
        <f t="shared" si="5"/>
        <v>0</v>
      </c>
      <c r="AF10" s="54">
        <f t="shared" si="6"/>
        <v>0</v>
      </c>
    </row>
    <row r="11" spans="1:32" s="8" customFormat="1" ht="409.5" x14ac:dyDescent="0.25">
      <c r="A11" s="33">
        <v>4</v>
      </c>
      <c r="B11" s="9" t="str">
        <f>IF($A11="","",VLOOKUP($A11,CIERRE!$B:$E,2,FALSE))</f>
        <v>GRUPO YACAR INGENIERIA S.A.S</v>
      </c>
      <c r="C11" s="23" t="s">
        <v>161</v>
      </c>
      <c r="D11" s="23" t="s">
        <v>156</v>
      </c>
      <c r="E11" s="48" t="s">
        <v>158</v>
      </c>
      <c r="F11" s="33" t="s">
        <v>113</v>
      </c>
      <c r="G11" s="12">
        <v>0.3</v>
      </c>
      <c r="H11" s="44">
        <v>41961</v>
      </c>
      <c r="I11" s="22">
        <v>42362</v>
      </c>
      <c r="J11" s="18">
        <f t="shared" si="0"/>
        <v>0</v>
      </c>
      <c r="K11" s="18">
        <f t="shared" si="1"/>
        <v>13.4</v>
      </c>
      <c r="L11" s="43">
        <v>3073408890</v>
      </c>
      <c r="M11" s="43">
        <f t="shared" si="2"/>
        <v>922022667</v>
      </c>
      <c r="N11" s="49">
        <f>IF(I11="",0,ROUND(M11/VLOOKUP(YEAR(I11),SMMLV!$C$3:$D$32,2,FALSE),2))</f>
        <v>1430.93</v>
      </c>
      <c r="O11" s="61">
        <f>IFERROR(N11/(INFORMACION!$C$21),)</f>
        <v>6.5199343873877984</v>
      </c>
      <c r="P11" s="3" t="s">
        <v>176</v>
      </c>
      <c r="U11" s="9"/>
      <c r="V11" s="9"/>
      <c r="W11" s="9"/>
      <c r="X11" s="9"/>
      <c r="Y11" s="9"/>
      <c r="Z11" s="9"/>
      <c r="AA11" s="9"/>
      <c r="AB11" s="9"/>
      <c r="AC11" s="54">
        <f t="shared" si="3"/>
        <v>0</v>
      </c>
      <c r="AD11" s="54">
        <f t="shared" si="4"/>
        <v>0</v>
      </c>
      <c r="AE11" s="54">
        <f t="shared" si="5"/>
        <v>0</v>
      </c>
      <c r="AF11" s="54">
        <f t="shared" si="6"/>
        <v>0</v>
      </c>
    </row>
    <row r="12" spans="1:32" s="8" customFormat="1" ht="409.5" x14ac:dyDescent="0.25">
      <c r="A12" s="33">
        <v>4</v>
      </c>
      <c r="B12" s="9" t="str">
        <f>IF($A12="","",VLOOKUP($A12,CIERRE!$B:$E,2,FALSE))</f>
        <v>GRUPO YACAR INGENIERIA S.A.S</v>
      </c>
      <c r="C12" s="23" t="s">
        <v>161</v>
      </c>
      <c r="D12" s="23" t="s">
        <v>157</v>
      </c>
      <c r="E12" s="48" t="s">
        <v>159</v>
      </c>
      <c r="F12" s="33" t="s">
        <v>113</v>
      </c>
      <c r="G12" s="12">
        <v>0.35</v>
      </c>
      <c r="H12" s="44">
        <v>42541</v>
      </c>
      <c r="I12" s="22">
        <v>42885</v>
      </c>
      <c r="J12" s="18">
        <f t="shared" si="0"/>
        <v>0</v>
      </c>
      <c r="K12" s="18">
        <f t="shared" si="1"/>
        <v>11.5</v>
      </c>
      <c r="L12" s="43">
        <v>491391807.51999998</v>
      </c>
      <c r="M12" s="43">
        <f t="shared" si="2"/>
        <v>171987132.632</v>
      </c>
      <c r="N12" s="49">
        <f>IF(I12="",0,ROUND(M12/VLOOKUP(YEAR(I12),SMMLV!$C$3:$D$32,2,FALSE),2))</f>
        <v>233.13</v>
      </c>
      <c r="O12" s="61">
        <f>IFERROR(N12/(INFORMACION!$C$21),)</f>
        <v>1.0622408529639586</v>
      </c>
      <c r="P12" s="3" t="s">
        <v>176</v>
      </c>
      <c r="U12" s="9"/>
      <c r="V12" s="9"/>
      <c r="W12" s="9"/>
      <c r="X12" s="9"/>
      <c r="Y12" s="9"/>
      <c r="Z12" s="9"/>
      <c r="AA12" s="9"/>
      <c r="AB12" s="9"/>
      <c r="AC12" s="54"/>
      <c r="AD12" s="54"/>
      <c r="AE12" s="54"/>
      <c r="AF12" s="54"/>
    </row>
    <row r="13" spans="1:32" ht="409.5" x14ac:dyDescent="0.25">
      <c r="A13" s="33">
        <v>4</v>
      </c>
      <c r="B13" s="9" t="str">
        <f>IF($A13="","",VLOOKUP($A13,CIERRE!$B:$E,2,FALSE))</f>
        <v>GRUPO YACAR INGENIERIA S.A.S</v>
      </c>
      <c r="C13" s="23" t="s">
        <v>161</v>
      </c>
      <c r="D13" s="23" t="s">
        <v>145</v>
      </c>
      <c r="E13" s="48" t="s">
        <v>160</v>
      </c>
      <c r="F13" s="33" t="s">
        <v>115</v>
      </c>
      <c r="G13" s="12">
        <v>1</v>
      </c>
      <c r="H13" s="44">
        <v>43034</v>
      </c>
      <c r="I13" s="22">
        <v>43368</v>
      </c>
      <c r="J13" s="18">
        <f t="shared" si="0"/>
        <v>0</v>
      </c>
      <c r="K13" s="18">
        <f t="shared" si="1"/>
        <v>11.167</v>
      </c>
      <c r="L13" s="43">
        <v>2703845440</v>
      </c>
      <c r="M13" s="43">
        <f t="shared" si="2"/>
        <v>2703845440</v>
      </c>
      <c r="N13" s="49">
        <f>IF(I13="",0,ROUND(M13/VLOOKUP(YEAR(I13),SMMLV!$C$3:$D$32,2,FALSE),2))</f>
        <v>3460.96</v>
      </c>
      <c r="O13" s="61">
        <f>IFERROR(N13/(INFORMACION!$C$21),)</f>
        <v>15.7696268282681</v>
      </c>
      <c r="P13" s="3" t="s">
        <v>176</v>
      </c>
      <c r="U13" s="2"/>
      <c r="V13" s="2"/>
      <c r="W13" s="2"/>
      <c r="X13" s="2"/>
      <c r="Y13" s="2"/>
      <c r="Z13" s="2"/>
      <c r="AA13" s="2"/>
      <c r="AB13" s="2"/>
      <c r="AC13" s="17">
        <f t="shared" si="3"/>
        <v>0</v>
      </c>
      <c r="AD13" s="17">
        <f t="shared" si="4"/>
        <v>0</v>
      </c>
      <c r="AE13" s="17">
        <f t="shared" si="5"/>
        <v>0</v>
      </c>
      <c r="AF13" s="17">
        <f t="shared" si="6"/>
        <v>0</v>
      </c>
    </row>
  </sheetData>
  <mergeCells count="4">
    <mergeCell ref="U3:V3"/>
    <mergeCell ref="W3:X3"/>
    <mergeCell ref="Y3:Z3"/>
    <mergeCell ref="AA3:AB3"/>
  </mergeCells>
  <phoneticPr fontId="9" type="noConversion"/>
  <conditionalFormatting sqref="O4:O163">
    <cfRule type="cellIs" dxfId="18" priority="4" operator="greaterThan">
      <formula>0.3</formula>
    </cfRule>
  </conditionalFormatting>
  <pageMargins left="0.7" right="0.7" top="0.75" bottom="0.75" header="0.3" footer="0.3"/>
  <pageSetup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365F4D93-1200-4D04-8598-CA0E5409C153}">
          <x14:formula1>
            <xm:f>SMMLV!$K$7:$K$9</xm:f>
          </x14:formula1>
          <xm:sqref>F4:F13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ADEAC-DA05-4A9F-8685-F2CF288E8DED}">
  <dimension ref="A3:U8"/>
  <sheetViews>
    <sheetView tabSelected="1" topLeftCell="F3" workbookViewId="0">
      <selection activeCell="P14" sqref="P14"/>
    </sheetView>
  </sheetViews>
  <sheetFormatPr baseColWidth="10" defaultRowHeight="15" x14ac:dyDescent="0.25"/>
  <cols>
    <col min="1" max="1" width="4" bestFit="1" customWidth="1"/>
    <col min="2" max="2" width="34" bestFit="1" customWidth="1"/>
    <col min="3" max="3" width="16.28515625" customWidth="1"/>
    <col min="4" max="4" width="15.85546875" customWidth="1"/>
    <col min="5" max="5" width="18.42578125" customWidth="1"/>
    <col min="6" max="6" width="19.42578125" bestFit="1" customWidth="1"/>
    <col min="7" max="7" width="17.7109375" customWidth="1"/>
    <col min="8" max="8" width="13.140625" bestFit="1" customWidth="1"/>
    <col min="9" max="9" width="16.85546875" hidden="1" customWidth="1"/>
    <col min="10" max="10" width="14.5703125" hidden="1" customWidth="1"/>
    <col min="11" max="11" width="23.28515625" hidden="1" customWidth="1"/>
    <col min="12" max="12" width="18.140625" hidden="1" customWidth="1"/>
    <col min="13" max="13" width="27.140625" hidden="1" customWidth="1"/>
    <col min="14" max="14" width="58.5703125" hidden="1" customWidth="1"/>
    <col min="15" max="15" width="26.85546875" customWidth="1"/>
    <col min="17" max="17" width="16.7109375" customWidth="1"/>
    <col min="18" max="18" width="23.28515625" customWidth="1"/>
    <col min="19" max="19" width="16.42578125" customWidth="1"/>
    <col min="20" max="20" width="18.140625" customWidth="1"/>
    <col min="21" max="21" width="50.5703125" customWidth="1"/>
  </cols>
  <sheetData>
    <row r="3" spans="1:21" ht="33.75" customHeight="1" x14ac:dyDescent="0.25">
      <c r="A3" s="82" t="s">
        <v>11</v>
      </c>
      <c r="B3" s="82" t="s">
        <v>12</v>
      </c>
      <c r="C3" s="82" t="s">
        <v>37</v>
      </c>
      <c r="D3" s="82" t="s">
        <v>38</v>
      </c>
      <c r="E3" s="82" t="s">
        <v>39</v>
      </c>
      <c r="F3" s="82" t="s">
        <v>40</v>
      </c>
      <c r="G3" s="82" t="s">
        <v>41</v>
      </c>
      <c r="H3" s="87" t="s">
        <v>35</v>
      </c>
      <c r="I3" s="82" t="s">
        <v>42</v>
      </c>
      <c r="J3" s="82" t="s">
        <v>43</v>
      </c>
      <c r="K3" s="82" t="s">
        <v>44</v>
      </c>
      <c r="L3" s="83"/>
      <c r="M3" s="83"/>
      <c r="N3" s="87" t="s">
        <v>28</v>
      </c>
      <c r="O3" s="86" t="s">
        <v>42</v>
      </c>
      <c r="P3" s="80" t="s">
        <v>43</v>
      </c>
      <c r="Q3" s="82" t="s">
        <v>44</v>
      </c>
      <c r="R3" s="82"/>
      <c r="S3" s="83"/>
      <c r="T3" s="83"/>
      <c r="U3" s="84" t="s">
        <v>28</v>
      </c>
    </row>
    <row r="4" spans="1:21" ht="51" x14ac:dyDescent="0.25">
      <c r="A4" s="71"/>
      <c r="B4" s="71"/>
      <c r="C4" s="71"/>
      <c r="D4" s="71"/>
      <c r="E4" s="71"/>
      <c r="F4" s="71"/>
      <c r="G4" s="71"/>
      <c r="H4" s="88"/>
      <c r="I4" s="71"/>
      <c r="J4" s="71"/>
      <c r="K4" s="24" t="s">
        <v>134</v>
      </c>
      <c r="L4" s="24" t="s">
        <v>121</v>
      </c>
      <c r="M4" s="24" t="s">
        <v>45</v>
      </c>
      <c r="N4" s="88"/>
      <c r="O4" s="81"/>
      <c r="P4" s="81"/>
      <c r="Q4" s="58" t="s">
        <v>142</v>
      </c>
      <c r="R4" s="58" t="s">
        <v>143</v>
      </c>
      <c r="S4" s="58" t="s">
        <v>144</v>
      </c>
      <c r="T4" s="58" t="s">
        <v>45</v>
      </c>
      <c r="U4" s="85"/>
    </row>
    <row r="5" spans="1:21" x14ac:dyDescent="0.25">
      <c r="A5" s="33">
        <v>1</v>
      </c>
      <c r="B5" s="2" t="str">
        <f>VLOOKUP($A5,CIERRE!$B:$E,2,FALSE)</f>
        <v>JULIAN ANDRES GOMEZ RAMIREZ</v>
      </c>
      <c r="C5" s="33" t="str">
        <f>+VLOOKUP($A5,'CAPACIDAD JURIDICA'!$A:$AQ,42,FALSE)</f>
        <v>HABIL</v>
      </c>
      <c r="D5" s="33" t="str">
        <f>+VLOOKUP($A5,'CAPACIDAD FINANCIERA'!$A$2:$V$7,19,FALSE)</f>
        <v>HABIL</v>
      </c>
      <c r="E5" s="33" t="str">
        <f>+VLOOKUP($A5,'CAPACIDAD FINANCIERA'!$A$2:$V$7,20,FALSE)</f>
        <v>HABIL</v>
      </c>
      <c r="F5" s="33" t="str">
        <f>+VLOOKUP($A5,'CAPACIDAD FINANCIERA'!$A:$V,21,FALSE)</f>
        <v>HABIL</v>
      </c>
      <c r="G5" s="33" t="s">
        <v>67</v>
      </c>
      <c r="H5" s="33" t="s">
        <v>68</v>
      </c>
      <c r="I5" s="14"/>
      <c r="J5" s="14"/>
      <c r="K5" s="42"/>
      <c r="L5" s="42"/>
      <c r="M5" s="42"/>
      <c r="N5" s="2"/>
      <c r="O5" s="33" t="s">
        <v>67</v>
      </c>
      <c r="P5" s="33" t="s">
        <v>68</v>
      </c>
      <c r="Q5" s="33">
        <v>10</v>
      </c>
      <c r="R5" s="33">
        <v>20</v>
      </c>
      <c r="S5" s="33">
        <v>20</v>
      </c>
      <c r="T5" s="33">
        <v>0</v>
      </c>
      <c r="U5" s="2"/>
    </row>
    <row r="6" spans="1:21" x14ac:dyDescent="0.25">
      <c r="A6" s="33">
        <v>2</v>
      </c>
      <c r="B6" s="2" t="str">
        <f>VLOOKUP($A6,CIERRE!$B:$E,2,FALSE)</f>
        <v>BIOSERVICIOS S.A.S.</v>
      </c>
      <c r="C6" s="33" t="str">
        <f>+VLOOKUP($A6,'CAPACIDAD JURIDICA'!$A:$AQ,42,FALSE)</f>
        <v>HABIL</v>
      </c>
      <c r="D6" s="33" t="str">
        <f>+VLOOKUP($A6,'CAPACIDAD FINANCIERA'!$A$2:$V$7,19,FALSE)</f>
        <v>HABIL</v>
      </c>
      <c r="E6" s="33" t="str">
        <f>+VLOOKUP($A6,'CAPACIDAD FINANCIERA'!$A$2:$V$7,20,FALSE)</f>
        <v>HABIL</v>
      </c>
      <c r="F6" s="33" t="str">
        <f>+VLOOKUP($A6,'CAPACIDAD FINANCIERA'!$A:$V,21,FALSE)</f>
        <v>NO HABIL</v>
      </c>
      <c r="G6" s="33" t="s">
        <v>67</v>
      </c>
      <c r="H6" s="33" t="s">
        <v>67</v>
      </c>
      <c r="I6" s="14"/>
      <c r="J6" s="14"/>
      <c r="K6" s="42"/>
      <c r="L6" s="42"/>
      <c r="M6" s="42"/>
      <c r="N6" s="2"/>
      <c r="O6" s="33" t="s">
        <v>67</v>
      </c>
      <c r="P6" s="33" t="s">
        <v>67</v>
      </c>
      <c r="Q6" s="33">
        <v>10</v>
      </c>
      <c r="R6" s="33">
        <v>20</v>
      </c>
      <c r="S6" s="33">
        <v>20</v>
      </c>
      <c r="T6" s="33">
        <v>0.25</v>
      </c>
      <c r="U6" s="2"/>
    </row>
    <row r="7" spans="1:21" x14ac:dyDescent="0.25">
      <c r="A7" s="33">
        <v>3</v>
      </c>
      <c r="B7" s="9" t="str">
        <f>VLOOKUP($A7,CIERRE!$B:$E,2,FALSE)</f>
        <v>INGEVIAL PYM S.A.S.</v>
      </c>
      <c r="C7" s="33" t="str">
        <f>+VLOOKUP($A7,'CAPACIDAD JURIDICA'!$A:$AQ,42,FALSE)</f>
        <v>HABIL</v>
      </c>
      <c r="D7" s="33" t="str">
        <f>+VLOOKUP($A7,'CAPACIDAD FINANCIERA'!$A$2:$V$7,19,FALSE)</f>
        <v>HABIL</v>
      </c>
      <c r="E7" s="33" t="str">
        <f>+VLOOKUP($A7,'CAPACIDAD FINANCIERA'!$A$2:$V$7,20,FALSE)</f>
        <v>HABIL</v>
      </c>
      <c r="F7" s="33" t="str">
        <f>+VLOOKUP($A7,'CAPACIDAD FINANCIERA'!$A:$V,21,FALSE)</f>
        <v>HABIL</v>
      </c>
      <c r="G7" s="33" t="s">
        <v>67</v>
      </c>
      <c r="H7" s="33" t="s">
        <v>67</v>
      </c>
      <c r="I7" s="14"/>
      <c r="J7" s="14"/>
      <c r="K7" s="42"/>
      <c r="L7" s="42"/>
      <c r="M7" s="42"/>
      <c r="N7" s="3"/>
      <c r="O7" s="33" t="s">
        <v>67</v>
      </c>
      <c r="P7" s="33" t="s">
        <v>67</v>
      </c>
      <c r="Q7" s="33">
        <v>10</v>
      </c>
      <c r="R7" s="33">
        <v>20</v>
      </c>
      <c r="S7" s="33">
        <v>20</v>
      </c>
      <c r="T7" s="33">
        <v>0.25</v>
      </c>
      <c r="U7" s="2"/>
    </row>
    <row r="8" spans="1:21" x14ac:dyDescent="0.25">
      <c r="A8" s="33">
        <v>4</v>
      </c>
      <c r="B8" s="9" t="str">
        <f>VLOOKUP($A8,CIERRE!$B:$E,2,FALSE)</f>
        <v>GRUPO YACAR INGENIERIA S.A.S</v>
      </c>
      <c r="C8" s="33" t="str">
        <f>+VLOOKUP($A8,'CAPACIDAD JURIDICA'!$A:$AQ,42,FALSE)</f>
        <v>HABIL</v>
      </c>
      <c r="D8" s="33" t="str">
        <f>+VLOOKUP($A8,'CAPACIDAD FINANCIERA'!$A$2:$V$7,19,FALSE)</f>
        <v>HABIL</v>
      </c>
      <c r="E8" s="33" t="str">
        <f>+VLOOKUP($A8,'CAPACIDAD FINANCIERA'!$A$2:$V$7,20,FALSE)</f>
        <v>HABIL</v>
      </c>
      <c r="F8" s="33" t="str">
        <f>+VLOOKUP($A8,'CAPACIDAD FINANCIERA'!$A:$V,21,FALSE)</f>
        <v>HABIL</v>
      </c>
      <c r="G8" s="33" t="s">
        <v>67</v>
      </c>
      <c r="H8" s="33" t="s">
        <v>68</v>
      </c>
      <c r="I8" s="14"/>
      <c r="J8" s="14"/>
      <c r="K8" s="42"/>
      <c r="L8" s="42"/>
      <c r="M8" s="42"/>
      <c r="N8" s="3"/>
      <c r="O8" s="33" t="s">
        <v>67</v>
      </c>
      <c r="P8" s="33" t="s">
        <v>68</v>
      </c>
      <c r="Q8" s="33">
        <v>10</v>
      </c>
      <c r="R8" s="33">
        <v>20</v>
      </c>
      <c r="S8" s="33">
        <v>20</v>
      </c>
      <c r="T8" s="33">
        <v>0.25</v>
      </c>
      <c r="U8" s="2"/>
    </row>
  </sheetData>
  <mergeCells count="16">
    <mergeCell ref="K3:M3"/>
    <mergeCell ref="F3:F4"/>
    <mergeCell ref="A3:A4"/>
    <mergeCell ref="B3:B4"/>
    <mergeCell ref="C3:C4"/>
    <mergeCell ref="D3:D4"/>
    <mergeCell ref="E3:E4"/>
    <mergeCell ref="G3:G4"/>
    <mergeCell ref="H3:H4"/>
    <mergeCell ref="I3:I4"/>
    <mergeCell ref="J3:J4"/>
    <mergeCell ref="P3:P4"/>
    <mergeCell ref="Q3:T3"/>
    <mergeCell ref="U3:U4"/>
    <mergeCell ref="O3:O4"/>
    <mergeCell ref="N3:N4"/>
  </mergeCells>
  <conditionalFormatting sqref="C9:J1506 C5:G8 I5:J8">
    <cfRule type="cellIs" dxfId="17" priority="13" operator="equal">
      <formula>"SUBSANAR"</formula>
    </cfRule>
    <cfRule type="cellIs" dxfId="16" priority="14" operator="equal">
      <formula>"NO HABIL"</formula>
    </cfRule>
    <cfRule type="cellIs" dxfId="15" priority="15" operator="equal">
      <formula>"HABIL"</formula>
    </cfRule>
  </conditionalFormatting>
  <conditionalFormatting sqref="J5:J8">
    <cfRule type="cellIs" dxfId="14" priority="51" operator="equal">
      <formula>"SUBSANAR"</formula>
    </cfRule>
    <cfRule type="cellIs" dxfId="13" priority="52" operator="equal">
      <formula>"NO HABIL"</formula>
    </cfRule>
    <cfRule type="cellIs" dxfId="12" priority="53" operator="equal">
      <formula>"HABIL"</formula>
    </cfRule>
  </conditionalFormatting>
  <conditionalFormatting sqref="H5:H8">
    <cfRule type="cellIs" dxfId="5" priority="4" operator="equal">
      <formula>"SUBSANAR"</formula>
    </cfRule>
    <cfRule type="cellIs" dxfId="4" priority="5" operator="equal">
      <formula>"NO HABIL"</formula>
    </cfRule>
    <cfRule type="cellIs" dxfId="3" priority="6" operator="equal">
      <formula>"HABIL"</formula>
    </cfRule>
  </conditionalFormatting>
  <conditionalFormatting sqref="O5:P8">
    <cfRule type="cellIs" dxfId="2" priority="1" operator="equal">
      <formula>"SUBSANAR"</formula>
    </cfRule>
    <cfRule type="cellIs" dxfId="1" priority="2" operator="equal">
      <formula>"NO HABIL"</formula>
    </cfRule>
    <cfRule type="cellIs" dxfId="0" priority="3" operator="equal">
      <formula>"HABIL"</formula>
    </cfRule>
  </conditionalFormatting>
  <pageMargins left="0.7" right="0.7" top="0.75" bottom="0.75" header="0.3" footer="0.3"/>
  <pageSetup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CF096568-AA0E-4A63-9FF8-69777CA79D9B}">
          <x14:formula1>
            <xm:f>SMMLV!$I$3:$I$5</xm:f>
          </x14:formula1>
          <xm:sqref>I5:J8 G5:G8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SMMLV</vt:lpstr>
      <vt:lpstr>INFORMACION</vt:lpstr>
      <vt:lpstr>CIERRE</vt:lpstr>
      <vt:lpstr>CAPACIDAD JURIDICA</vt:lpstr>
      <vt:lpstr>CAPACIDAD FINANCIERA</vt:lpstr>
      <vt:lpstr>EXPERIENCIA</vt:lpstr>
      <vt:lpstr>RESUMEN CALIFICACION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Jhons Stiven Cortés González</dc:creator>
  <cp:lastModifiedBy>Jhons Stiven Cortés González</cp:lastModifiedBy>
  <cp:lastPrinted>2026-02-25T16:37:53Z</cp:lastPrinted>
  <dcterms:created xsi:type="dcterms:W3CDTF">2024-08-18T15:37:01Z</dcterms:created>
  <dcterms:modified xsi:type="dcterms:W3CDTF">2026-03-04T16:57:01Z</dcterms:modified>
</cp:coreProperties>
</file>