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mc:AlternateContent xmlns:mc="http://schemas.openxmlformats.org/markup-compatibility/2006">
    <mc:Choice Requires="x15">
      <x15ac:absPath xmlns:x15ac="http://schemas.microsoft.com/office/spreadsheetml/2010/11/ac" url="https://agenciaateneaco.sharepoint.com/sites/gerenciaposmedia/todosalau/Shared Documents/2.Contratación/2026/TCF_8/Convocatorias/BO_C8/EVALUACION/Publicacion_Evaluacion_BO_C8/"/>
    </mc:Choice>
  </mc:AlternateContent>
  <xr:revisionPtr revIDLastSave="16" documentId="13_ncr:1_{6A12203B-DE56-E946-9D49-206597A0AE12}" xr6:coauthVersionLast="47" xr6:coauthVersionMax="47" xr10:uidLastSave="{99ABCF84-E91E-D742-8EC1-3B13BD55AAAC}"/>
  <workbookProtection workbookAlgorithmName="SHA-512" workbookHashValue="zZLgR7X0q3YqucZJR5eml08rIayXF/8SHulqgbg7G6/ycwN/fTJDr9tuTxlT/SWJp5aJF14+eYSLeVvbb7c3Fg==" workbookSaltValue="4TT/S/R/g27UgkfB8Iv7kQ==" workbookSpinCount="100000" lockStructure="1"/>
  <bookViews>
    <workbookView xWindow="0" yWindow="600" windowWidth="28800" windowHeight="16100" xr2:uid="{575CEC79-3A3E-5841-BB08-6717DD1E1682}"/>
  </bookViews>
  <sheets>
    <sheet name="Oferta_1_Indoamericana" sheetId="1" r:id="rId1"/>
    <sheet name="Oferta_2_Cualificacion_E" sheetId="30" r:id="rId2"/>
    <sheet name="Oferta_3_Fun_CCB" sheetId="31" r:id="rId3"/>
    <sheet name="Oferta_4_Gestion_Total" sheetId="32" r:id="rId4"/>
    <sheet name="Oferta_5_Incap" sheetId="33" r:id="rId5"/>
    <sheet name="Medidas" sheetId="2" r:id="rId6"/>
    <sheet name="Resumen_resultados" sheetId="4" r:id="rId7"/>
    <sheet name="Hoja1" sheetId="35" state="hidden" r:id="rId8"/>
    <sheet name="Datos" sheetId="3" state="hidden" r:id="rId9"/>
  </sheets>
  <definedNames>
    <definedName name="_xlnm._FilterDatabase" localSheetId="5" hidden="1">Medidas!$B$2:$C$3</definedName>
    <definedName name="_xlnm._FilterDatabase" localSheetId="6" hidden="1">Resumen_resultados!$B$2:$M$7</definedName>
    <definedName name="_xlnm.Print_Area" localSheetId="5">Medidas!$A$2:$D$15</definedName>
    <definedName name="_xlnm.Print_Area" localSheetId="3">Oferta_4_Gestion_Total!$A$1:$I$29</definedName>
    <definedName name="_xlnm.Print_Area" localSheetId="6">Resumen_resultados!$A$1:$N$9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33" l="1"/>
  <c r="B8" i="32"/>
  <c r="B8" i="31"/>
  <c r="B8" i="30"/>
  <c r="B8" i="1"/>
  <c r="D11" i="2"/>
  <c r="H7" i="4"/>
  <c r="G7" i="4"/>
  <c r="F7" i="4"/>
  <c r="E7" i="4"/>
  <c r="H6" i="4"/>
  <c r="G6" i="4"/>
  <c r="F6" i="4"/>
  <c r="E6" i="4"/>
  <c r="H5" i="4"/>
  <c r="G5" i="4"/>
  <c r="F5" i="4"/>
  <c r="E5" i="4"/>
  <c r="H4" i="4"/>
  <c r="G4" i="4"/>
  <c r="F4" i="4"/>
  <c r="E4" i="4"/>
  <c r="H3" i="4"/>
  <c r="G3" i="4"/>
  <c r="E3" i="4"/>
  <c r="G25" i="30"/>
  <c r="D9" i="2"/>
  <c r="G22" i="32" l="1"/>
  <c r="C9" i="2"/>
  <c r="C4" i="2" l="1"/>
  <c r="F22" i="30"/>
  <c r="D7" i="2" l="1"/>
  <c r="D6" i="2"/>
  <c r="D5" i="2"/>
  <c r="D4" i="2"/>
  <c r="B7" i="2"/>
  <c r="B6" i="2"/>
  <c r="B5" i="2"/>
  <c r="B4" i="2"/>
  <c r="N7" i="4"/>
  <c r="N6" i="4"/>
  <c r="N5" i="4"/>
  <c r="N4" i="4"/>
  <c r="N3" i="4"/>
  <c r="K7" i="4"/>
  <c r="M7" i="4" s="1"/>
  <c r="K6" i="4"/>
  <c r="M6" i="4" s="1"/>
  <c r="K5" i="4"/>
  <c r="M5" i="4" s="1"/>
  <c r="K4" i="4"/>
  <c r="M4" i="4" s="1"/>
  <c r="D7" i="4"/>
  <c r="D6" i="4"/>
  <c r="D5" i="4"/>
  <c r="D4" i="4"/>
  <c r="G28" i="33"/>
  <c r="G27" i="33"/>
  <c r="F22" i="33"/>
  <c r="C7" i="2" s="1"/>
  <c r="G20" i="33"/>
  <c r="G19" i="33"/>
  <c r="H16" i="33"/>
  <c r="H15" i="33"/>
  <c r="H14" i="33"/>
  <c r="H13" i="33"/>
  <c r="H12" i="33"/>
  <c r="H11" i="33"/>
  <c r="G28" i="32"/>
  <c r="G27" i="32"/>
  <c r="F22" i="32"/>
  <c r="C6" i="2" s="1"/>
  <c r="G20" i="32"/>
  <c r="G18" i="32" s="1"/>
  <c r="G19" i="32"/>
  <c r="H16" i="32"/>
  <c r="H15" i="32"/>
  <c r="H14" i="32"/>
  <c r="H13" i="32"/>
  <c r="H12" i="32"/>
  <c r="H11" i="32"/>
  <c r="G28" i="31"/>
  <c r="G27" i="31"/>
  <c r="F22" i="31"/>
  <c r="C5" i="2" s="1"/>
  <c r="G20" i="31"/>
  <c r="G18" i="31" s="1"/>
  <c r="G19" i="31"/>
  <c r="H16" i="31"/>
  <c r="H15" i="31"/>
  <c r="H14" i="31"/>
  <c r="H13" i="31"/>
  <c r="H12" i="31"/>
  <c r="H11" i="31"/>
  <c r="G28" i="30"/>
  <c r="G27" i="30"/>
  <c r="G20" i="30"/>
  <c r="G19" i="30"/>
  <c r="H16" i="30"/>
  <c r="H15" i="30"/>
  <c r="H14" i="30"/>
  <c r="H13" i="30"/>
  <c r="H12" i="30"/>
  <c r="H11" i="30"/>
  <c r="H13" i="1"/>
  <c r="H12" i="1"/>
  <c r="G25" i="31" l="1"/>
  <c r="G25" i="32"/>
  <c r="G26" i="32"/>
  <c r="G26" i="31"/>
  <c r="G26" i="33"/>
  <c r="G26" i="30"/>
  <c r="G18" i="30"/>
  <c r="G18" i="33"/>
  <c r="H16" i="1"/>
  <c r="H15" i="1"/>
  <c r="H14" i="1"/>
  <c r="H11" i="1"/>
  <c r="K3" i="4"/>
  <c r="M3" i="4" s="1"/>
  <c r="D3" i="4"/>
  <c r="B7" i="4"/>
  <c r="B6" i="4"/>
  <c r="B5" i="4"/>
  <c r="B4" i="4"/>
  <c r="B3" i="2"/>
  <c r="B3" i="4" s="1"/>
  <c r="D3" i="2"/>
  <c r="F22" i="1"/>
  <c r="C3" i="2" s="1"/>
  <c r="G20" i="1"/>
  <c r="G19" i="1"/>
  <c r="G28" i="1"/>
  <c r="G27" i="1"/>
  <c r="G25" i="33" l="1"/>
  <c r="G23" i="33" s="1"/>
  <c r="G25" i="1"/>
  <c r="G23" i="1" s="1"/>
  <c r="G23" i="31"/>
  <c r="G23" i="32"/>
  <c r="G23" i="30"/>
  <c r="G18" i="1"/>
  <c r="G26" i="1"/>
  <c r="G29" i="30" l="1"/>
  <c r="D12" i="2" a="1"/>
  <c r="D12" i="2" s="1"/>
  <c r="D13" i="2" s="1"/>
  <c r="G22" i="1" s="1"/>
  <c r="G21" i="1" s="1"/>
  <c r="G21" i="32"/>
  <c r="G29" i="32" s="1"/>
  <c r="I6" i="4" s="1"/>
  <c r="G22" i="33"/>
  <c r="G21" i="33" s="1"/>
  <c r="G22" i="30"/>
  <c r="G21" i="30" s="1"/>
  <c r="I4" i="4" s="1"/>
  <c r="G22" i="31"/>
  <c r="G21" i="31" s="1"/>
  <c r="G29" i="31" s="1"/>
  <c r="I5" i="4" s="1"/>
  <c r="I3" i="4" l="1"/>
  <c r="F3" i="4"/>
  <c r="G29" i="33"/>
  <c r="I7" i="4" s="1"/>
  <c r="G29"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<sst xmlns="http://schemas.openxmlformats.org/spreadsheetml/2006/main" count="581" uniqueCount="174">
  <si>
    <t>Nombre Proveedor</t>
  </si>
  <si>
    <t>CORPORACION EDUCATIVA INDOAMERICANA S.A.S.</t>
  </si>
  <si>
    <t>Priorización de oferta</t>
  </si>
  <si>
    <t xml:space="preserve">Fecha </t>
  </si>
  <si>
    <t>Nombre de contacto</t>
  </si>
  <si>
    <t>MÓNICA TATIANA MURCIA RAMÍREZ</t>
  </si>
  <si>
    <t>Correo de contacto</t>
  </si>
  <si>
    <t>contratacion@indoamericana.edu.co</t>
  </si>
  <si>
    <t>Teléfono de contacto</t>
  </si>
  <si>
    <t>601 432 4350 Ext 1059 - 316 8331883</t>
  </si>
  <si>
    <t>Estado Final</t>
  </si>
  <si>
    <t>EVALUADO</t>
  </si>
  <si>
    <t>Puntuación Final</t>
  </si>
  <si>
    <t>CRITERIOS</t>
  </si>
  <si>
    <t>No.</t>
  </si>
  <si>
    <t>8.5. CAUSALES DE RECHAZO</t>
  </si>
  <si>
    <t>Documento</t>
  </si>
  <si>
    <t>APORTADO
Si / NO</t>
  </si>
  <si>
    <t>DATO</t>
  </si>
  <si>
    <t>ESTADO</t>
  </si>
  <si>
    <t>Observaciones</t>
  </si>
  <si>
    <t>Validación Causales de rechazo</t>
  </si>
  <si>
    <t>Cuando el proponente no aporte el Anexo 09_Propuesta_Economica debidamente diligenciado, completo, sin modificaciones de estructura</t>
  </si>
  <si>
    <t>Anexo 09_Propuesta_Economica</t>
  </si>
  <si>
    <t>SI</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</si>
  <si>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t>
  </si>
  <si>
    <t>Valor total de la propuesta</t>
  </si>
  <si>
    <t>El proponente diligencia el valor del presupuesto en el Anexo 09_Propuesta_Económica, en el cual se establece el valor total de la propuesta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$64,600,000.00, el cual no supera el valor máximo establecido de $65.000.000. Por tanto, cumple con el requisito.</t>
  </si>
  <si>
    <t>Cuando el costo unitario por cupo de la propuesta económica no se allegue o su valor supere el costo unitario máximo establecido para el presente proceso. (Anexo 09_Propuesta_Economica)</t>
  </si>
  <si>
    <t>COSTO CUPO UNITARIO OFERTADO - TURISMO</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</si>
  <si>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$850,000.00, el cual no supera el valor máximo establecido de $1.182.500. 
Por tanto, cumple con el requisito.</t>
  </si>
  <si>
    <t>Cuando el proponente no aporte el Anexo_17_Syllabus debidamente diligenciado, completo y sin modificaciones de estructura y hasta una vez surtido el proceso de subsanación establecido en el cronograma del presente proceso contractual. Para los casos en que los ajustes solicitados no queden debidamente subsanados se rechazará la oferta del proponente del banco de oferentes</t>
  </si>
  <si>
    <t>Anexo_17_Syllabus</t>
  </si>
  <si>
    <t>El proponente diligencia la información en el Anexo 17_Syllabus, mediante el cual presenta la estructura del programa de formación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con el numeral 4. Requisitos de la oferta – característica: Syllabus, evidenciándose su presentación debidamente diligenciada, completa y sin modificaciones en su estructura. Por tanto, cumple con el requisito.</t>
  </si>
  <si>
    <t>Cuando el proponente no aporte el Anexo 13_ Carta Presentacion_propuesta debidamente diligenciado, completo, sin modificaciones de estructura y debidamente firmado por el Representante Legal y hasta una vez surtido el proceso de subsanación establecido en el cronograma del presente proceso contractual. Para los casos en que los ajustes solicitados no queden debidamente subsanados se rechazará la oferta del proponente del banco de oferentes</t>
  </si>
  <si>
    <t>Anexo 13_ Carta Presentacion_propuesta</t>
  </si>
  <si>
    <t>El proponente diligencia la información en el Anexo 13_Carta Presentacion_propuesta, mediante el cual presenta la propuesta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evidenciándose su presentación debidamente diligenciada, completa, sin modificaciones en su estructura y debidamente firmado por el representante legal. Por tanto, cumple con el requisito.</t>
  </si>
  <si>
    <t>Cuando el proponente no haya cumplido los requisitos de ejecución de la Operación Principal, caso en el cual no contará con la posibilidad para participar en las convocatorias de la Operación Secundaria</t>
  </si>
  <si>
    <t>No aplica</t>
  </si>
  <si>
    <t>NO</t>
  </si>
  <si>
    <t>6. FACTORES DE PONDERACIÓN</t>
  </si>
  <si>
    <t xml:space="preserve">Criterio </t>
  </si>
  <si>
    <t>Puntaje asignado</t>
  </si>
  <si>
    <t>6.1. Equipo de docente en función de la calidad</t>
  </si>
  <si>
    <t>Equipos docentes del proyecto</t>
  </si>
  <si>
    <t>Documento soporte</t>
  </si>
  <si>
    <t>Descripción</t>
  </si>
  <si>
    <t>Validación / dato ofertado</t>
  </si>
  <si>
    <t>6.1.1</t>
  </si>
  <si>
    <t>Total de docentes, tutores o monitores que cuenten con experiencia adicional de un año y hasta un año y once meses</t>
  </si>
  <si>
    <t>Anexo 08_Equipo_trabajo_funcion_calidad_puntuable</t>
  </si>
  <si>
    <t>Se asignará hasta 15 puntos, para el oferente que presente con su oferta que los docentes, tutores o monitores partiendo de la relación técnica definida de que por cada 30 estudiantes se requiere un docente) con mejoramiento de su perfil en un año y hasta un año y once meses, adicionales en la experiencia profesional a la experiencia mínima requerida y relacionada con el subsector en el que se impartirá la formación, es decir, igual a dos años y hasta 2 años y once meses.</t>
  </si>
  <si>
    <t>6.1.2</t>
  </si>
  <si>
    <t xml:space="preserve">Total de docentes, tutores o monitores que cuenten con experiencia adicional de dos años o más </t>
  </si>
  <si>
    <t>Se asignará hasta 30,5 puntos, para el oferente que presente con su oferta que los docentes, tutores o monitores partiendo de la relación técnica definida de que por cada 30 estudiantes se requiere un docente) con mejoramiento de su perfil en dos años o más, adicionales en la experiencia profesional a la experiencia mínima requerida y relacionada con el subsector en el que se impartirá la formación, es decir, igual a tres años o más.</t>
  </si>
  <si>
    <t>Para este factor de ponderación, el oferente obtuvo una puntuación de 30.5 puntos. Lo anterior, como resultado de la validación por parte del equipo evaluador en el marco de la presentación de la oferta, en la cual, allegó el documento Anexo 08_Equipo trabajo_Calidad puntuable,  en la cual se compromete con que una vez resulte adjudicatario contratará los docentes, tutores o monitores partiendo de la relación técnica definida de que por cada 30 estudiantes se requiere un docente con mejoramiento de su perfil en dos años o más, adicionales en la experiencia profesional a la experiencia mínima requerida y relacionada con el subsector en el que se impartirá la formación, es decir, igual a tres años o más.</t>
  </si>
  <si>
    <t>6.2. Costo Unitario</t>
  </si>
  <si>
    <t>Menor costo unitario</t>
  </si>
  <si>
    <t>CUPOS OFERTADOS</t>
  </si>
  <si>
    <t>6.2.1</t>
  </si>
  <si>
    <t>Costo Cupo Unitario ofertado</t>
  </si>
  <si>
    <r>
      <t xml:space="preserve">El proponente diligencia el valor del presupuesto en el Anexo 09 – Propuesta Económica, en el cual presenta el costo unitario por cupo correspondiente a la estrategia integral del programa a desarrollar en el marco del programa Talento Capital Formación de la Agencia ATENEA. Dicho valor se encuentra estructurado conforme a los criterios establecidos en elDOCUMENTO DE ESPECÍFICACIONES TÉCNICAS Cursos de formación informal de ciclo corto Sector Servicios Turismo y Habilidades Socioemocionales - HSE, específicamente en el numeral 6.2. Costo Unitario, ofertando un valor de $850.000,00, el cual no supera el valor máximo permitido de $1.182.500,00.
No obstante, en el marco de la evaluación económica, y de conformidad con lo establecido en el numeral 6. Factores de ponderación, subnumeral 6.2. Costo Unitario, particularmente en la Nota 1, se establece:
</t>
    </r>
    <r>
      <rPr>
        <i/>
        <sz val="12"/>
        <color rgb="FF000000"/>
        <rFont val="Aptos Narrow"/>
      </rPr>
      <t>“(...) Nota 1: Para efectos de la evaluación del criterio económico, se identificará como valor atípico bajo aquel costo unitario por cupo ofertado que sea inferior al límite definido como la mediana menos dos (2) veces la desviación absoluta mediana (MAD) de los costos unitarios por cupo correspondientes a las propuestas habilitadas en la presente convocatoria. La desviación absoluta mediana (MAD) se calculará como la mediana de los valores absolutos de la diferencia entre cada costo unitario por cupo ofertado y la mediana de dichos costos. En caso de que el costo unitario por cupo ofertado por el proponente se ubique por debajo del límite anteriormente definido, no se asignará puntaje, es decir, se otorgarán cero (0) puntos en este criterio (...)”.</t>
    </r>
    <r>
      <rPr>
        <sz val="12"/>
        <color rgb="FF000000"/>
        <rFont val="Aptos Narrow"/>
        <family val="2"/>
      </rPr>
      <t xml:space="preserve">
En aplicación de lo anterior, se determinó que la mediana de los costos unitarios ofertados corresponde a $1.095.000,00, mientras que la desviación absoluta mediana (MAD) es de $77.976,00, lo que establece un límite de valor atípico bajo de $939.048,00.
En consecuencia, dado que el valor ofertado por el proponente ($850.000,00) se encuentra por debajo de dicho umbral, por lo cual no se asigna puntaje, es decir, se otorgarán cero (0) puntos en este factor de ponderación.</t>
    </r>
  </si>
  <si>
    <t>6.3. Experiencia especifica en temática y Subsector</t>
  </si>
  <si>
    <t>Mayor Experiencia por subsector / temática</t>
  </si>
  <si>
    <t>6.3.1</t>
  </si>
  <si>
    <t>Subsector TURISMO - HSE</t>
  </si>
  <si>
    <t xml:space="preserve">Anexo_10_Acreditacion_experiencia_puntuable </t>
  </si>
  <si>
    <t>El proponente allega el Anexo_10_Acreditacion_experiencia_puntuable debidamente diligenciado y firmado por el representante legal, evidenciando el registro completo de la información requerida frente a la relación exacta de la cantidad de personas formadas (986) en el subsector de turismo. Se observa que el formato corresponde al establecido en la convocatoria, sin modificaciones en su estructura, por lo cual cumple con los requisitos formales exigidos.</t>
  </si>
  <si>
    <t>Anexo_11_basededatos_personasformadasSectores</t>
  </si>
  <si>
    <t>6.4. Incentivos a la contratación</t>
  </si>
  <si>
    <t>Incentivos a la contratación</t>
  </si>
  <si>
    <t>6.4.1</t>
  </si>
  <si>
    <t xml:space="preserve">Criterios adicionales para Mipymes en el Sistema de Compras Públicas </t>
  </si>
  <si>
    <t>Participante que acredite un tamaño empresarial de micro, pequeña o mediana empresa.</t>
  </si>
  <si>
    <t>6.4.2</t>
  </si>
  <si>
    <t>Empresas y emprendimientos de mujeres en el Sistema de Compras Públicas</t>
  </si>
  <si>
    <t>Anexo_12_Incentivos_Contratacion_Puntuable</t>
  </si>
  <si>
    <t>Participante que acredite que su equipo de trabajo base está conformado mínimo por el 50% de mujeres.</t>
  </si>
  <si>
    <t>..</t>
  </si>
  <si>
    <t>CORPORACION INSTITUTO COLOMBIANO DE CUALIFICACION EMPRESARIAL - CICCE</t>
  </si>
  <si>
    <t>CLAUDIA MILENA MANJARREZ ALZATE</t>
  </si>
  <si>
    <t>info@cicce.edu.co</t>
  </si>
  <si>
    <t>El proponente diligencia el valor del presupuesto en el Anexo 09_Propuesta_Económica, en el cual se establece el valor total de la propuesta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$64,605,000.00, el cual no supera el valor máximo establecido de $65.000.000. Por tanto, cumple con el requisito.</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</si>
  <si>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$1,095,000.00, el cual no supera el valor máximo establecido de $1.182.500. Por tanto, cumple con el requisito.</t>
  </si>
  <si>
    <t>Para este factor de ponderación, el oferente obtuvo una puntuación de 30.5 puntos. Lo anterior como resultado de la validación por parte del equipo evaluador en el marco de la presentación de la oferta, en la cual, allegó el documento Anexo 08_Equipo trabajo_Calidad puntuable,  en la cual se compromete con que una vez resulte adjudicatario contratará los docentes, tutores o monitores partiendo de la relación técnica definida de que por cada 30 estudiantes se requiere un docente) con mejoramiento de su perfil en dos años o más, adicionales en la experiencia profesional a la experiencia mínima requerida y relacionada con el subsector en el que se impartirá la formación, es decir, igual a tres años o más.</t>
  </si>
  <si>
    <t>FUNDACIÓN UNIVERSITARIA EMPRESARIAL DE LA CÁMARA DE COMERCIO DE BOGOTÁ – UNIEMPRESARIAL</t>
  </si>
  <si>
    <t>JUAN ALFREDO PINTO SAAVEDRA</t>
  </si>
  <si>
    <t>notificacionesjudiciales@uniempresarial.edu.co / rector@uniempresarial.edu.co</t>
  </si>
  <si>
    <t>(+601) 3808000 Exts. 1002, 6604, 6607, 6608</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</si>
  <si>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ESPECÍFICACIONES TÉCNICAS Cursos de formación informal de ciclo corto Sector Servicios Turismo y Habilidades Socioemocionales - HSE, de acuerdo al numeral 6.2. Costo Unitario.</t>
  </si>
  <si>
    <t>El proponente diligencia el valor del presupuesto en el Anexo 09_Propuesta_Económica, en el cual se establece el valor total de la propuesta de la estrategia integral del programa a desarrollar en el marco del programa Talento Capital Formación de la Agencia ATENEA, el cual se encuentra relacionado de acuerdo con los criterios establecidos en el documento ESPECÍFICACIONES TÉCNICAS Cursos de formación informal de ciclo corto Sector Servicios Turismo y Habilidades Socioemocionales - HSE, de acuerdo al numeral 6.2. Costo Unitario, ofertando el valor de $64.513.680, el cual no supera el valor máximo establecido de $65.000.000. Por tanto, cumple con el requisito.</t>
  </si>
  <si>
    <t>GESTIÓN TOTAL CORPORATIVA SAS BIC</t>
  </si>
  <si>
    <t>CARLOS ALBERTO UMBARILA ZAMORA</t>
  </si>
  <si>
    <t>info@gestion-total.com</t>
  </si>
  <si>
    <t>INSTITUTO COLOMBIANO DE APRENDIZAJE (INCAP) SAS</t>
  </si>
  <si>
    <t>ANDRES EDUARDO GALVIS MARTINEZ</t>
  </si>
  <si>
    <t>luis.barbosa@incap.edu.co</t>
  </si>
  <si>
    <t>313 331 2614</t>
  </si>
  <si>
    <t>El proponente diligencia el valor del presupuesto en el Anexo 09_Propuesta_Económica, en el cual se establece el valor total de la propuesta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$65.000.000, el cual no supera el valor máximo establecido. Por tanto, cumple con el requisito.</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</si>
  <si>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$1.015.625, el cual no supera el valor máximo establecido de $1.182.500. Por tanto, cumple con el requisito.</t>
  </si>
  <si>
    <t xml:space="preserve">          </t>
  </si>
  <si>
    <t>El proponente allega el Anexo_10_Acreditacion_experiencia_puntuable debidamente diligenciado y firmado por el representante legal, evidenciando el registro completo de la información requerida frente a la relación exacta de la cantidad de personas formadas (66.378) en el subsector de turismo. Se observa que el formato corresponde al establecido en la convocatoria, sin modificaciones en su estructura, por lo cual cumple con los requisitos formales exigidos.</t>
  </si>
  <si>
    <r>
      <t xml:space="preserve">De acuerdo con la revisión realizada por la Agencia ATENEA y conforme a lo establecido en el numeral 6.4 - Incentivos a la contratación, aspecto puntuable </t>
    </r>
    <r>
      <rPr>
        <sz val="12"/>
        <rFont val="Aptos Narrow"/>
        <family val="2"/>
      </rPr>
      <t>“Criterios adicionales para Mipymes en el Sistema de Compras Públicas”, del documento de DOCUMENTO DE ESPECÍFICACIONES TÉCNICAS Cursos de formación informal de ciclo corto Sector Servicios Turismo y Habilidades Socioemocionales - HSE, sí se cumple con el requisito, por lo cual se suma el puntaje indicado de 0,25 puntos.</t>
    </r>
  </si>
  <si>
    <t>GASTRONOMIA</t>
  </si>
  <si>
    <t>OFERENTE</t>
  </si>
  <si>
    <t>NOMBRE OFERENTE</t>
  </si>
  <si>
    <t>Propuesta Económica (Normal)</t>
  </si>
  <si>
    <t>Estudiantes certificados y validados en Subsector / TEMÁTICA</t>
  </si>
  <si>
    <t>Oferente 1</t>
  </si>
  <si>
    <t>Oferente 2</t>
  </si>
  <si>
    <t>Oferente 3</t>
  </si>
  <si>
    <t>Oferente 4</t>
  </si>
  <si>
    <t>Oferente 5</t>
  </si>
  <si>
    <t>MEDIDAS</t>
  </si>
  <si>
    <t>Mediana</t>
  </si>
  <si>
    <t>MAD</t>
  </si>
  <si>
    <t>Límite de valor atípico bajo</t>
  </si>
  <si>
    <t>Nombre Oferente</t>
  </si>
  <si>
    <t>Estado</t>
  </si>
  <si>
    <t>Orden por puntuación</t>
  </si>
  <si>
    <t>Priorización de Oferta por el proveedor</t>
  </si>
  <si>
    <t>Llave para asignación</t>
  </si>
  <si>
    <t>CUPOS TURISMO</t>
  </si>
  <si>
    <t>Propuesta economica debe estar firmada o solo excel.</t>
  </si>
  <si>
    <t>6.1.</t>
  </si>
  <si>
    <t>Equipo de docente en función de la calidad</t>
  </si>
  <si>
    <t>Puntaje 1</t>
  </si>
  <si>
    <t>6.2</t>
  </si>
  <si>
    <t>Costo Unitario</t>
  </si>
  <si>
    <t>6.3</t>
  </si>
  <si>
    <t>Experiencia especifica en temática y Subsector</t>
  </si>
  <si>
    <t>6.4</t>
  </si>
  <si>
    <t>Mypimes</t>
  </si>
  <si>
    <t>Contratación 50% equipo base mujer</t>
  </si>
  <si>
    <t>RECHAZADO</t>
  </si>
  <si>
    <t>ACEPTADO</t>
  </si>
  <si>
    <t>COSTO CUPO UNITARIO OFERTADO - TURISMO - HSE</t>
  </si>
  <si>
    <t>Presupuesto</t>
  </si>
  <si>
    <t>Puntaje Total</t>
  </si>
  <si>
    <t>Puntaje: 6.1. Equipo de docente en función de la calidad</t>
  </si>
  <si>
    <t>Puntaje: 6.2. Costo Unitario</t>
  </si>
  <si>
    <t>Puntaje: 6.3. Experiencia especifica en temática y Subsector</t>
  </si>
  <si>
    <t>Pubtaje: 6.4. Incentivos a la contratación</t>
  </si>
  <si>
    <t>Para este factor de ponderación, el proponente obtuvo una puntuación de 0,25 puntos. Lo anterior, teniendo en cuenta que el proponente allegó con la presentación de su propuesta el Anexo_12_Incentivos_Contratacion_Puntuable, tal y como lo establece el DOCUMENTO DE ESPECÍFICACIONES TÉCNICAS Cursos de formación informal de ciclo corto Sector Servicios Turismo y Habilidades Socioemocionales - HSE en su numeral 6. FACTORES DE PONDERACIÓN, subnumeral 6.4. Incentivos a la contratación  aspecto puntuable  Empresas y emprendimientos de mujeres en el Sistema de Compras Públicas, conforme a lo establecido en el DOCUMENTO DE ESPECÍFICACIONES TÉCNICAS Cursos de formación informal de ciclo corto Sector Servicios Turismo y Habilidades Socioemocionales - HSE.</t>
  </si>
  <si>
    <t>El proponente no allegó el Anexo_10_Acreditacion_experiencia_puntuable en su versión 2 publicado mediante la adenda No1. Por lo cual para la agencia Atenea no es posible validar que el ofrecimiento que está haciendo frente a las personas formadas  corresponde al subsector de Turismo, ya que el documento aportado menciona personas formadas en el subsector de BPO.</t>
  </si>
  <si>
    <r>
      <t>De acuerdo con la revisión realizada por la Agencia ATENEA, se asigna un puntaje de 0 (cero) en este criterio, al no ser la entidad una Mypime, conforme a lo establecido e</t>
    </r>
    <r>
      <rPr>
        <sz val="12"/>
        <rFont val="Aptos Narrow (Cuerpo)"/>
      </rPr>
      <t xml:space="preserve">n el numeral 6.4 - Incentivos a la contratación, aspecto puntuable </t>
    </r>
    <r>
      <rPr>
        <sz val="12"/>
        <rFont val="Aptos Narrow"/>
        <family val="2"/>
        <scheme val="minor"/>
      </rPr>
      <t>“Criterios adicionales para Mipymes en el Sistema de Compras Públicas”, del DOCUMENTO DE ESPECÍFICACIONES TÉCNICAS Cursos de formación informal de ciclo corto Sector Servicios Turismo y Habilidades Socioemocionales - HSE.</t>
    </r>
  </si>
  <si>
    <t>Para este factor de ponderación, el proponente obtuvo una puntuación de 0,25 puntos. Lo anterior, teniendo en cuenta que el proponente allegó con la presentación de su propuesta el 17 de marzo de 2026, el Anexo_12_Incentivos_Contratacion_Puntuable, tal y como lo establece el DOCUMENTO DE ESPECÍFICACIONES TÉCNICAS Cursos de formación informal de ciclo corto Sector Servicios Turismo y Habilidades Socioemocionales - HSE en su numeral 6. FACTORES DE PONDERACIÓN, subnumeral 6.4. Incentivos a la contratación aspecto puntuable  Empresas y emprendimientos de mujeres en el Sistema de Compras Públicas. conforme a lo establecido en el DOCUMENTO DE ESPECÍFICACIONES TÉCNICAS Cursos de formación informal de ciclo corto Sector Servicios Turismo y Habilidades Socioemocionales - HSE.</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</si>
  <si>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$1.172.976, el cual no supera el valor máximo establecido de $1.182.500. Por tanto, cumple con el requisito.</t>
  </si>
  <si>
    <t>El proponente allega el Anexo 17_Syllabus, debidamente diligenciado, completo y sin modificaciones en su estructura, en el marco de lo establecido en el DOCUMENTO DE ESPECÍFICACIONES TÉCNICAS Cursos de formación informal de ciclo corto Sector Servicios Turismo y Habilidades Socioemocionales - HSE, de acuerdo con el numeral 4. Requisitos de la oferta – característica: Syllabus.
En el marco de la evaluación inicial, el equipo evaluador identificó observaciones en el contenido del anexo, particularmente en los numerales 1.8. Conocimientos y habilidades, 1.10. Horas sincrónicas y asincrónicas del curso, 1.12. Módulos del curso y 1.14. Resumen técnico del curso, razón por la cual se solicitó subsanación dentro del término definido en el cronograma del proceso.
Una vez revisada la información allegada por el proponente en etapa de subsanación, se verificó que se realizaron los ajustes requeridos en los numerales previamente señalados, evidenciándose cumplimiento frente a las condiciones establecidas en el DOCUMENTO DE ESPECÍFICACIONES TÉCNICAS y el Anexo 17_Syllabus, particularmente en lo relacionado con la diferenciación de la modalidad de formación entre el componente técnico (virtual sincrónico) y el componente de habilidades socioemocionales – HSE (presencial), así como la coherencia en la distribución horaria y la planeación académica del programa.
Así mismo, se verificó que no se presentaran modificaciones en la estructura del anexo ni en los textos base del formato establecido por la entidad.
En consecuencia, se concluye que el proponente cumple con requisito, una vez surtido el proceso de subsanación y verificación.</t>
  </si>
  <si>
    <t>Para este factor de ponderación, al proponente se le asigna una puntuación de 30,5 puntos. Lo anterior como resultado de la validación por parte del equipo evaluador en el marco de la presentación de la oferta, en la cual el oferente allegó el documento Anexo 08_Equipo_trabajo_funcion_calidad_puntuable, según lo establecido en el DOCUMENTO DE ESPECÍFICACIONES TÉCNICAS Cursos de formación informal de ciclo corto Sector Servicios Turismo y Habilidades Socioemocionales - HSE, de acuerdo con el numeral 6.1. Equipo docente en función de la calidad, en el cual se establece que “Se asignará hasta 30,5 puntos, para el oferente que presente con su oferta que los docentes, tutores o monitores partiendo de la relación técnica definida de que por cada 30 estudiantes se requiere un docente) con mejoramiento de su perfil en dos años o más, adicionales en la experiencia profesional a la experiencia mínima requerida y relacionada con el subsector en el que se impartirá la formación, es decir, igual a tres años o más”, evidenciándose que el proponente selecciona este criterio.</t>
  </si>
  <si>
    <t>El proponente allega el Anexo 10_Acreditacion_experiencia_puntuable debidamente diligenciado y firmado por el representante legal, en el marco de lo establecido en el DOCUMENTO DE ESPECÍFICACIONES TÉCNICAS Cursos de formación informal de ciclo corto Sector Servicios Turismo y Habilidades Socioemocionales - HSE, de acuerdo con el numeral 6.3. Experiencia específica en temática y subsector.</t>
  </si>
  <si>
    <t>Para este factor de ponderación, al proponente se le asigna una puntuación de 0,25 puntos. Lo anterior como resultado de la validación realizada por la Agencia ATENEA en el marco de la presentación de la oferta, en la cual el oferente allegó el Anexo_12_Incentivos_Contratacion_Puntuable, mediante el cual manifiesta el compromiso de que el equipo de trabajo base estará conformado como mínimo en un 50% por mujeres, conforme a lo establecido en el DOCUMENTO DE ESPECÍFICACIONES TÉCNICAS Cursos de formación informal de ciclo corto Sector Servicios Turismo y Habilidades Socioemocionales - HSE, de acuerdo con el numeral 6.4. Incentivos a la contratación, en el aspecto puntuable “Empresas y emprendimientos de mujeres en el Sistema de Compras Públicas”.</t>
  </si>
  <si>
    <t>El proponente diligencia el valor del presupuesto en el Anexo 09_Propuesta_Económica, en el cual se establece el valor total de la propuesta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$64.531.752,88, el cual no supera el valor máximo establecido de $65.000.000. Por tanto, cumple con el requisito.</t>
  </si>
  <si>
    <t>El proponente diligencia el valor del presupuesto en el Anexo 09_Propuesta_Económica,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$1.152.352,73, el cual no supera el valor máximo establecido de $1.182.500. Por tanto, cumple con el requisito.</t>
  </si>
  <si>
    <t>El proponente allega el Anexo 17_Syllabus, debidamente diligenciado, completo y sin modificaciones en su estructura, en el marco de lo establecido en el DOCUMENTO DE ESPECÍFICACIONES TÉCNICAS Cursos de formación informal de ciclo corto Sector Servicios Turismo y Habilidades Socioemocionales - HSE, de acuerdo con el numeral 4. Requisitos de la oferta – característica: Syllabus.
En el marco de la evaluación inicial, el equipo evaluador identificó observaciones en el contenido del anexo, particularmente en los numerales 1.8. Conocimientos y habilidades y 1.14. Resumen técnico del curso, razón por la cual se solicitó subsanación dentro del término definido en el cronograma del proceso.
Una vez revisada la información allegada por el proponente en etapa de subsanación, se verificó que se realizaron los ajustes requeridos en los numerales previamente señalados, evidenciándose cumplimiento frente a las condiciones establecidas en el DOCUMENTO DE ESPECÍFICACIONES TÉCNICAS y el Anexo 17_Syllabus, particularmente en lo relacionado con la diferenciación de la modalidad de formación entre el componente técnico (virtual sincrónico) y el componente de habilidades socioemocionales – HSE (presencial), así como la coherencia en la distribución horaria y la planeación académica del programa.
Así mismo, se verificó que no se presentaran modificaciones en la estructura del anexo ni en los textos base del formato establecido por la entidad. 
En consecuencia, se concluye que el proponente cumple con el requisito, una vez surtido el proceso de subsanación y verificación.</t>
  </si>
  <si>
    <t>El proponente diligencia la información en el Anexo 13_Carta Presentacion_propuesta, mediante el cual presenta la propuesta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evidenciándose su presentación debidamente diligenciada, completa, sin modificaciones en su estructura y debidamente firmado por el representante legal. Por tanto, cumple con el requisito.</t>
  </si>
  <si>
    <t>Para este factor de ponderación, al proponente se le asigna una puntuación de 30,5 puntos. Lo anterior como resultado de la validación por parte del equipo evaluador en el marco de la presentación de la oferta, en la cual el oferente allegó el documento Anexo 08_Equipo_trabajo_funcion_calidad_puntuable, según lo establecido en el  DOCUMENTO DE ESPECÍFICACIONES TÉCNICAS Cursos de formación informal de ciclo corto Sector Servicios Turismo y Habilidades Socioemocionales - HSE, de acuerdo con el numeral 6.1. Equipo docente en función de la calidad, en el cual se establece que “Se asignará hasta 30,5 puntos, para el oferente que presente con su oferta que los docentes, tutores o monitores partiendo de la relación técnica definida de que por cada 30 estudiantes se requiere un docente) con mejoramiento de su perfil en dos años o más, adicionales en la experiencia profesional a la experiencia mínima requerida y relacionada con el subsector en el que se impartirá la formación, es decir, igual a tres años o más”, evidenciándose que el proponente selecciona este criterio.</t>
  </si>
  <si>
    <t>El proponente diligencia el valor del presupuesto en el Anexo 09 – Propuesta Económica, en el cual se oferta el costo unitario por cupo de la estrategia integral del programa a desarrollar en el marco del programa de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con el numeral 6.2. Costo Unitario, ofertando el valor de $1.152.352,73, el cual no supera el valor máximo establecido de $1.182.500. En consecuencia, el valor ofertado es objeto de ponderación conforme a los criterios definidos para la asignación de puntaje, por lo cual se le asigna una puntuación de 15,49 puntos.</t>
  </si>
  <si>
    <t>El proponente allega el Anexo 10_Acreditacion_experiencia_puntuable debidamente diligenciado y firmado por el representante legal, en el marco de lo establecido en el  DOCUMENTO DE ESPECÍFICACIONES TÉCNICAS Cursos de formación informal de ciclo corto Sector Servicios Turismo y Habilidades Socioemocionales - HSE, de acuerdo con el numeral 6.3. Experiencia específica en temática y subsector.</t>
  </si>
  <si>
    <t>El proponente, para este factor de ponderación, obtuvo una puntuación de 2,54 puntos. Lo anterior, teniendo en cuenta que el oferente allegó dentro de su propuesta el documento denominado “Anexo_11_basededatos_personasformadasSectores” en formato Excel, debidamente diligenciado, lo cual le permite al equipo evaluador técnico de la Agencia ATENEA validar el requisito 6. Factores de Ponderación, numeral 6.3. Experiencia específica en temática y subsector, establecido en el DOCUMENTO DE ESPECIFICACIONES TÉCNICAS Cursos de formación informal de ciclo corto Sector Servicios Turismo y Habilidades Socioemocionales - HSE, en el marco de la Convocatoria Operación Secundaria Banco de Oferentes. De acuerdo con la información registrada, el proponente certifica en el Anexo 10_Acreditacion_experiencia_puntuable un total de 529 personas formadas, mientras que en el Anexo_11_basededatos_personasformadasSectores relaciona 526 registros, evidenciándose una diferencia de tres (3) registros entre la certificación y la base de datos aportada. Una vez realizada la verificación de los datos, se encuentra una relación de 526 registros, sin embargo, se identificó:
-275 registros corresponden a personas jurídicas, las cuales no son objeto de validación para este criterio.
-Dos (2) registros no cuentan con documento de identidad, lo que impide validar su trazabilidad.
-Cinco (5) registros no presentan información de nombres y/o apellidos, por lo cual no es posible verificar la identidad de las personas formadas.
Por lo tanto, el dato de cantidad de personas formadas por el oferente válido para la Agencia ATENEA será de 244 registros, según la verificación realizada.</t>
  </si>
  <si>
    <t>Para este factor de ponderación, al proponente se le asigna una puntuación de 0,25 puntos. Lo anterior como resultado de la validación realizada por la Agencia ATENEA en el marco de la presentación de la oferta, en la cual se verificó que el proponente acredita la condición de micro, pequeña o mediana empresa (Mipyme), conforme a lo establecido en el  DOCUMENTO DE ESPECÍFICACIONES TÉCNICAS Cursos de formación informal de ciclo corto Sector Servicios Turismo y Habilidades Socioemocionales - HSE, de acuerdo con el numeral 6.4. Incentivos a la contratación, en el aspecto puntuable “Criterios adicionales para Mipymes en el Sistema de Compras Públicas”, por lo cual cumple con el criterio establecido.</t>
  </si>
  <si>
    <t>Para este factor de ponderación, al proponente se le asigna una puntuación de 0,25 puntos. Lo anterior como resultado de la validación realizada por parte del equipo evaluador en el marco de la presentación de la oferta, en la cual el oferente allegó el Anexo_12_Incentivos_Contratacion_Puntuable, debidamente diligenciado y firmado por el representante legal, mediante el cual manifiesta el compromiso de que el equipo de trabajo base estará conformado como mínimo en un 50% por mujeres, conforme a lo establecido en el DOCUMENTO DE ESPECÍFICACIONES TÉCNICAS Cursos de formación informal de ciclo corto Sector Servicios Turismo y Habilidades Socioemocionales - HSE, de acuerdo con el numeral 6.4. Incentivos a la contratación, en el aspecto puntuable “Empresas y emprendimientos de mujeres en el Sistema de Compras Públicas”.</t>
  </si>
  <si>
    <t>El proponente diligencia el valor del presupuesto en el Anexo 09 – Propuesta Económica, en el cual se oferta el costo unitario por cupo de la estrategia integral del programa a desarrollar en el marco del programa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al numeral 6.2. Costo Unitario, ofertando el valor de $1,095,000.00, el cual no supera el valor máximo establecido de $1,182,500. Por tanto, cumple con el requisito.
Por lo Anterior y de acuerdo con lo establecido en el DOCUMENTO DE ESPECÍFICACIONES TÉCNICAS Cursos de formación informal de ciclo corto Sector Servicios Turismo y Habilidades Socioemocionales - HSE la puntuación asignada es de 16,30 puntos.</t>
  </si>
  <si>
    <t>El proponente allega el Anexo_11_basededatos_personasformadasSectores  debidamente diligenciado, evidenciando el registro completo de la información requerida,  incluyendo la relación exacta de la cantidad de personas que se indican en el Anexo_10_Acreditacion_experiencia_puntuable y el nombre del programa en el cual fue certificada la población relacionada. 
Se observa que el formato corresponde al establecido en la convocatoria, sin modificaciones en su estructura, por lo cual cumple con los requisitos formales exigidos. Por lo Anterior y de acuerdo con lo establecido en el DOCUMENTO DE ESPECÍFICACIONES TÉCNICAS Cursos de formación informal de ciclo corto Sector Servicios Turismo y Habilidades Socioemocionales - HSE la puntuación asignada es de 10,25 puntos.</t>
  </si>
  <si>
    <t>El proponente allega el Anexo_11_basededatos_personasformadasSectores, incluyendo la relación de la cantidad de personas que se indican en el Anexo_10_Acreditacion_experiencia_puntuable y el nombre del programa en el cual fue certificada la población relacionada. No obstante, el Anexo_11_basededatos_personasformadasSectores presenta las siguientes inconsistencias:
i) la columna “NOMBRE” repite la misma información registrada en la columna “APELLIDOS”; 
ii) la columna “FECHA DE TERMINACIÓN DEL CURSO” no se encuentra diligenciada. 
En consecuencia, el equipo evaluador de la Agencia Atenea no cuenta con información suficiente para validar la totalidad de las personas reportadas como formadas, toda vez que la fecha de terminación del curso constituye un dato necesario para verificar la culminación efectiva del proceso formativo por parte de las personas relacionadas. Por lo anterior, no es procedente asignar puntaje al proponente en este factor de ponderación.
Por lo anterior, y teniendo en cuenta lo indicado  frente a la presentación del formato "Anexo_10_Acreditacion_experiencia_puntuable", se asigna una puntuación de cero (0) para este criterio de ponderación.</t>
  </si>
  <si>
    <t>El proponente diligencia el valor del presupuesto en el Anexo 09 – Propuesta Económica, en el cual se oferta el costo unitario por cupo de la estrategia integral del programa a desarrollar en el marco del programa de Talento Capital Formación de la Agencia ATENEA, el cual se encuentra relacionado de acuerdo con los criterios establecidos en el DOCUMENTO DE ESPECÍFICACIONES TÉCNICAS Cursos de formación informal de ciclo corto Sector Servicios Turismo y Habilidades Socioemocionales - HSE, de acuerdo con el numeral 6.2. Costo Unitario, ofertando el valor de $1.172.976, el cual no supera el valor máximo establecido de $1.182.500. 
En consecuencia, el valor ofertado es objeto de ponderación conforme a los criterios definidos para la asignación de puntaje, por lo cual se le asigna una puntuación de 15,22 puntos.</t>
  </si>
  <si>
    <r>
      <t xml:space="preserve">El proponente allega el Anexo_11_basededatos_personasformadasSectores, en el marco de lo establecido en el DOCUMENTO DE ESPECÍFICACIONES TÉCNICAS Cursos de formación informal de ciclo corto Sector Servicios Turismo y Habilidades Socioemocionales - HSE, de acuerdo con el numeral 6.3. Experiencia específica en temática y subsector, en el cual relaciona un total de 922 personas formadas en el subsector de turismo.
No obstante, una vez realizada la verificación por parte del equipo evaluador sobre la información registrada, se evidenció que:
 - Únicamente 56 personas corresponden a formación específica en el subsector de turismo, particularmente asociada al programa de "Administración Turística".
 - Adicionalmente, se identificó que dentro de este grupo una (1) persona no cuenta con información completa de identificación (nombre y apellido), por lo cual no es posible validarla. 
En consecuencia, el total de personas efectivamente verificadas y que cumplen con los criterios establecidos en el  DOCUMENTO DE ESPECÍFICACIONES TÉCNICAS Cursos de formación informal de ciclo corto Sector Servicios Turismo y Habilidades Socioemocionales - HSE, de acuerdo con el numeral 6.3, corresponde a 55 personas.
En ese sentido, para efectos de la asignación de puntaje, se tuvo en cuenta únicamente el número de personas validadas conforme a los criterios definidos en la Nota 3. en la cual reza </t>
    </r>
    <r>
      <rPr>
        <i/>
        <sz val="12"/>
        <color rgb="FF000000"/>
        <rFont val="Aptos Narrow"/>
        <scheme val="minor"/>
      </rPr>
      <t>"(...) En el caso de que se presente por parte del oferente un curso, programa, seminario, u otros cursos cortos, que no haga parte del Subsector de la convocatoria en que se presenta la oferta, la relación de personas formadas para ese programa, curso, seminarios, etc no será tenida en cuenta sobre el total que se reporta, es decir, que la Agencia Atenea valdrá en función de la puntuación solo la cantidad de personas formadas relacionadas con
el Subsector de la convocatoria(...)"</t>
    </r>
    <r>
      <rPr>
        <sz val="12"/>
        <color rgb="FF000000"/>
        <rFont val="Aptos Narrow"/>
        <family val="2"/>
        <scheme val="minor"/>
      </rPr>
      <t>, Por lo anterior se otorga un puntaje de 0,57 puntos.</t>
    </r>
  </si>
  <si>
    <t>El proponente diligencia el valor del presupuesto en el Anexo 09 – Propuesta Económica, en el cual se oferta el costo unitario por cupo de la estrategia integral del programa a desarrollar en el marco del programa de Talento Capital Formación de la Agencia ATENEA, el cual se encuentra relacionado de acuerdo con los criterios establecidos en las DOCUMENTO DE ESPECÍFICACIONES TÉCNICAS Cursos de formación informal de ciclo corto Sector Servicios Turismo y Habilidades Socioemocionales - HSE, de acuerdo al numeral 6.2. Costo Unitario, ofertando el valor de $1.015.625.00, el cual no supera el valor máximo establecido de $1,182,500. Por tanto, cumple con el requisito.</t>
  </si>
  <si>
    <t>El oferente, para este factor de ponderación, obtuvo una puntuación de 48,00 puntos. Lo anterior, teniendo en cuenta que el Oferente allegó dentro de su propuesta presentada el documento denominado "Anexo_11_basededatos_personasformadasSectores" en formato Excel, debidamente diligenciado, lo cual, le permite al equipo evaluador técnico de la Agencia Atenea validar el requisito 6. Factores De Ponderación numeral 6.3. Experiencia especifica en temática y Subsector, establecido en el DOCUMENTO DE ESPECÍFICACIONES TÉCNICAS Cursos de formación informal de ciclo corto Sector Servicios Turismo y Habilidades Socioemocionales - HSE. Una vez realizada la verificación de los datos, se encuentra una relación de 66.378 registros, sin embargo, se identificó:
-949 datos registrados con fecha del 20/03/2026, por lo cual estos datos no se tienen en cuenta dentro del conteo general toda vez que la fecha de presentación de la oferta final allegada por INCAP fue del 17/03/2026, por lo cual no cumple con el criterio establecido en el numeral 6.3. Experiencia especifica en temática y Subsector, relacionado con que el oferente debía allegar población formada y certificada, siendo la fecha del 20/03/2026 una fecha posterior a la presentación de la documentación requerida en la presente convocatoria.
-Para efectos de la asignación de puntaje, se tuvo en cuenta únicamente el número de personas validadas conforme a los criterios definidos en la Nota 3. en la cual reza "(...) En el caso de que se presente por parte del oferente un curso, programa, seminario, u otros cursos cortos, que no haga parte del Subsector de la convocatoria en que se presenta la oferta, la relación de personas formadas para ese programa, curso, seminarios, etc. no será tenida en cuenta sobre el total que se reporta, es decir, que la Agencia Atenea valdrá en función de la puntuación solo la cantidad de personas formadas relacionadas con el Subsector de la convocatoria(...)", Por lo anterior se otorga un puntaje de 48,00.
Se debe tener en cuenta que el turismo y la gastronomía son subsectores distintos dentro del sector servicios. En Colombia específicamente, el Ministerio de Comercio, Industria y Turismo agrupa la gastronomía dentro de lo que se denomina las industrias de la hospitalidad, junto con hotelería y turismo, pero sin perder su identidad como subsector propio. Así las cosas, la gastronomía no es un componente del subsector turismo, sino su propio subsector.
Así las cosas, para el caso de esta convocatoria, se tienen en cuenta únicamente los cursos relacionados con el subsector del turismo, los cuales deberán incluir en sus títulos: hoteles, agencias de viajes, transporte turístico o relacionados. En ese orden de ideas, se validan 1.577 registros del curso “Costos Hoteleros” y 3.096 registros del curso “Presupuestos Hoteleros”, para un total de 4,673 registros, de los cuales 57 tienen fecha del 20/03/2026, es decir, que finalmente se tienen 4.616 registros validados por la Agencia Atenea.</t>
  </si>
  <si>
    <t>Para este factor de ponderación, el proponente obtuvo una puntuación de  0,25 puntos. Lo anterior, teniendo en cuenta que el proponente allegó con la presentación de su propuesta el 17 de marzo de 2026, el Anexo_12_Incentivos_Contratacion_Puntuable, tal y como lo establece el DOCUMENTO DE ESPECÍFICACIONES TÉCNICAS Cursos de formación informal de ciclo corto Sector Servicios Turismo y Habilidades Socioemocionales - HSE, en su numeral 6. FACTORES DE PONDERACIÓN, subnumeral 6.4. Incentivos a la contratación aspecto puntuable  Empresas y emprendimientos de mujeres en el Sistema de Compras Públicas.</t>
  </si>
  <si>
    <t>Satisfactoria</t>
  </si>
  <si>
    <t>Validación SARLFT**</t>
  </si>
  <si>
    <t>** Fuente: INFORME VERIFICACION DEFINITIVA SARLAFT- DE LAS CONVOCATORIAS DE LA OPERACIÓN  SECUNDARIA DEL BANCO DE OFERENTES NO. ATENEA-RP-BO-OS-001-2026, ATENEA-RP-BO  OS-002-2026 Y ATENEA-RP -BO-OS-003-2026</t>
  </si>
  <si>
    <t>No satisfactoria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</si>
</sst>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00"/>
  </numFmts>
  <fonts count="18">
    <font>
      <sz val="12"/>
      <color theme="1"/>
      <name val="Aptos Narrow"/>
      <family val="2"/>
      <scheme val="minor"/>
    </font>
    <font>
      <sz val="12"/>
      <color theme="1"/>
      <name val="Aptos Narrow"/>
      <family val="2"/>
      <scheme val="minor"/>
    </font>
    <font>
      <sz val="8"/>
      <name val="Aptos Narrow"/>
      <family val="2"/>
      <scheme val="minor"/>
    </font>
    <font>
      <b/>
      <sz val="12"/>
      <color theme="1"/>
      <name val="Aptos Narrow"/>
      <family val="2"/>
      <scheme val="minor"/>
    </font>
    <font>
      <b/>
      <sz val="12"/>
      <color theme="0"/>
      <name val="Aptos Narrow"/>
      <family val="2"/>
      <scheme val="minor"/>
    </font>
    <font>
      <u/>
      <sz val="12"/>
      <color theme="10"/>
      <name val="Aptos Narrow"/>
      <family val="2"/>
      <scheme val="minor"/>
    </font>
    <font>
      <sz val="10"/>
      <color theme="0"/>
      <name val="Century Gothic"/>
      <family val="1"/>
    </font>
    <font>
      <b/>
      <u/>
      <sz val="12"/>
      <color theme="1"/>
      <name val="Aptos Narrow"/>
      <family val="2"/>
      <scheme val="minor"/>
    </font>
    <font>
      <sz val="12"/>
      <color rgb="FF000000"/>
      <name val="Aptos Narrow"/>
      <family val="2"/>
      <scheme val="minor"/>
    </font>
    <font>
      <sz val="12"/>
      <color rgb="FF000000"/>
      <name val="Aptos Narrow"/>
      <family val="2"/>
    </font>
    <font>
      <sz val="11"/>
      <color theme="1"/>
      <name val="Arial"/>
      <family val="2"/>
    </font>
    <font>
      <sz val="12"/>
      <name val="Aptos Narrow"/>
      <family val="2"/>
      <scheme val="minor"/>
    </font>
    <font>
      <sz val="12"/>
      <color rgb="FF000000"/>
      <name val="Aptos Narrow"/>
    </font>
    <font>
      <sz val="12"/>
      <name val="Aptos Narrow (Cuerpo)"/>
    </font>
    <font>
      <sz val="12"/>
      <name val="Aptos Narrow"/>
    </font>
    <font>
      <sz val="12"/>
      <name val="Aptos Narrow"/>
      <family val="2"/>
    </font>
    <font>
      <i/>
      <sz val="12"/>
      <color rgb="FF000000"/>
      <name val="Aptos Narrow"/>
    </font>
    <font>
      <i/>
      <sz val="12"/>
      <color rgb="FF000000"/>
      <name val="Aptos Narrow"/>
      <scheme val="minor"/>
    </font>
  </fonts>
  <fills count="10">
    <fill>
      <patternFill patternType="none"/>
    </fill>
    <fill>
      <patternFill patternType="gray125"/>
    </fill>
    <fill>
      <patternFill patternType="solid">
        <fgColor theme="1" tint="0.49998474074526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bgColor indexed="64"/>
      </patternFill>
    </fill>
    <fill>
      <patternFill patternType="solid">
        <fgColor theme="0" tint="-4.9989318521683403E-2"/>
        <bgColor indexed="64"/>
      </patternFill>
    </fill>
    <fill>
      <patternFill patternType="solid">
        <fgColor rgb="FFF2F2F2"/>
        <bgColor rgb="FF000000"/>
      </patternFill>
    </fill>
    <fill>
      <patternFill patternType="solid">
        <fgColor theme="0"/>
        <bgColor indexed="64"/>
      </patternFill>
    </fill>
    <fill>
      <patternFill patternType="solid">
        <fgColor theme="2" tint="-9.9978637043366805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s>
  <cellStyleXfs count="3">
    <xf numFmtId="0" fontId="0" fillId="0" borderId="0"/>
    <xf numFmtId="9" fontId="1" fillId="0" borderId="0" applyFont="0" applyFill="0" applyBorder="0" applyAlignment="0" applyProtection="0"/>
    <xf numFmtId="0" fontId="5" fillId="0" borderId="0" applyNumberFormat="0" applyFill="0" applyBorder="0" applyAlignment="0" applyProtection="0"/>
  </cellStyleXfs>
  <cellXfs count="118">
    <xf numFmtId="0" fontId="0" fillId="0" borderId="0" xfId="0"/>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xf>
    <xf numFmtId="0" fontId="0" fillId="0" borderId="0" xfId="0" applyAlignment="1">
      <alignment horizontal="center"/>
    </xf>
    <xf numFmtId="0" fontId="0" fillId="0" borderId="0" xfId="0" applyAlignment="1">
      <alignment horizontal="center" vertical="center" wrapText="1"/>
    </xf>
    <xf numFmtId="164" fontId="0" fillId="0" borderId="0" xfId="0" applyNumberFormat="1"/>
    <xf numFmtId="0" fontId="0" fillId="0" borderId="1" xfId="0" applyBorder="1"/>
    <xf numFmtId="164" fontId="0" fillId="0" borderId="1" xfId="0" applyNumberFormat="1" applyBorder="1"/>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0" fillId="0" borderId="1" xfId="0" applyBorder="1" applyAlignment="1">
      <alignment horizontal="left" vertical="top"/>
    </xf>
    <xf numFmtId="0" fontId="0" fillId="0" borderId="0" xfId="0" applyAlignment="1">
      <alignment horizontal="left" vertical="top"/>
    </xf>
    <xf numFmtId="0" fontId="0" fillId="0" borderId="1" xfId="0" applyBorder="1" applyAlignment="1">
      <alignment horizontal="left" vertical="top" wrapText="1"/>
    </xf>
    <xf numFmtId="0" fontId="3" fillId="4" borderId="1" xfId="0" applyFont="1" applyFill="1" applyBorder="1"/>
    <xf numFmtId="0" fontId="1" fillId="0" borderId="0" xfId="0" applyFont="1" applyAlignment="1">
      <alignment horizontal="left" vertical="top"/>
    </xf>
    <xf numFmtId="0" fontId="1" fillId="0" borderId="0" xfId="0" applyFont="1" applyAlignment="1">
      <alignment vertical="top"/>
    </xf>
    <xf numFmtId="0" fontId="5" fillId="0" borderId="0" xfId="2" applyFill="1" applyBorder="1" applyAlignment="1">
      <alignment horizontal="left" vertical="top"/>
    </xf>
    <xf numFmtId="0" fontId="5" fillId="0" borderId="0" xfId="2" applyFill="1" applyBorder="1" applyAlignment="1">
      <alignment vertical="top"/>
    </xf>
    <xf numFmtId="0" fontId="0" fillId="0" borderId="1" xfId="0" applyBorder="1" applyAlignment="1">
      <alignment vertical="top"/>
    </xf>
    <xf numFmtId="0" fontId="0" fillId="2" borderId="1" xfId="0" applyFill="1" applyBorder="1" applyAlignment="1">
      <alignment vertical="top"/>
    </xf>
    <xf numFmtId="4" fontId="0" fillId="0" borderId="1" xfId="0" applyNumberFormat="1" applyBorder="1" applyAlignment="1">
      <alignment vertical="top"/>
    </xf>
    <xf numFmtId="0" fontId="0" fillId="6" borderId="1" xfId="0" applyFill="1" applyBorder="1" applyAlignment="1">
      <alignment horizontal="left" vertical="top" wrapText="1"/>
    </xf>
    <xf numFmtId="0" fontId="7" fillId="3" borderId="1" xfId="0" applyFont="1" applyFill="1" applyBorder="1" applyAlignment="1">
      <alignment vertical="top"/>
    </xf>
    <xf numFmtId="0" fontId="3" fillId="3" borderId="1" xfId="0" applyFont="1" applyFill="1" applyBorder="1" applyAlignment="1">
      <alignment horizontal="center" vertical="top"/>
    </xf>
    <xf numFmtId="0" fontId="0" fillId="0" borderId="1" xfId="0" applyBorder="1" applyAlignment="1">
      <alignment horizontal="center" vertical="top"/>
    </xf>
    <xf numFmtId="2" fontId="7" fillId="3" borderId="1" xfId="0" applyNumberFormat="1" applyFont="1" applyFill="1" applyBorder="1" applyAlignment="1">
      <alignment horizontal="center" vertical="top"/>
    </xf>
    <xf numFmtId="2" fontId="0" fillId="6" borderId="1" xfId="0" applyNumberFormat="1" applyFill="1" applyBorder="1" applyAlignment="1">
      <alignment horizontal="center" vertical="top"/>
    </xf>
    <xf numFmtId="1" fontId="0" fillId="0" borderId="1" xfId="1" applyNumberFormat="1" applyFont="1" applyFill="1" applyBorder="1" applyAlignment="1">
      <alignment horizontal="center" vertical="top"/>
    </xf>
    <xf numFmtId="0" fontId="0" fillId="0" borderId="5" xfId="0" applyBorder="1" applyAlignment="1">
      <alignment vertical="top"/>
    </xf>
    <xf numFmtId="0" fontId="0" fillId="0" borderId="4" xfId="0" applyBorder="1" applyAlignment="1">
      <alignment vertical="top"/>
    </xf>
    <xf numFmtId="1" fontId="0" fillId="0" borderId="1" xfId="0" applyNumberFormat="1" applyBorder="1"/>
    <xf numFmtId="2" fontId="0" fillId="0" borderId="1" xfId="0" applyNumberFormat="1" applyBorder="1" applyAlignment="1">
      <alignment horizontal="center"/>
    </xf>
    <xf numFmtId="2" fontId="0" fillId="0" borderId="1" xfId="0" applyNumberFormat="1" applyBorder="1" applyAlignment="1">
      <alignment horizontal="center" vertical="top"/>
    </xf>
    <xf numFmtId="0" fontId="8" fillId="8" borderId="1" xfId="0" applyFont="1" applyFill="1" applyBorder="1" applyAlignment="1">
      <alignment horizontal="left" vertical="top" wrapText="1"/>
    </xf>
    <xf numFmtId="0" fontId="3" fillId="0" borderId="1" xfId="0" applyFont="1" applyBorder="1" applyAlignment="1">
      <alignment vertical="top"/>
    </xf>
    <xf numFmtId="0" fontId="0" fillId="0" borderId="0" xfId="0" applyAlignment="1">
      <alignment vertical="top"/>
    </xf>
    <xf numFmtId="0" fontId="6" fillId="0" borderId="0" xfId="0" applyFont="1" applyAlignment="1">
      <alignment vertical="top"/>
    </xf>
    <xf numFmtId="0" fontId="4" fillId="5" borderId="1" xfId="0" applyFont="1" applyFill="1" applyBorder="1" applyAlignment="1">
      <alignment horizontal="center" vertical="top"/>
    </xf>
    <xf numFmtId="0" fontId="4" fillId="5" borderId="1" xfId="0" applyFont="1" applyFill="1" applyBorder="1" applyAlignment="1">
      <alignment horizontal="center" vertical="top" wrapText="1"/>
    </xf>
    <xf numFmtId="0" fontId="3" fillId="0" borderId="0" xfId="0" applyFont="1" applyAlignment="1">
      <alignment vertical="top"/>
    </xf>
    <xf numFmtId="0" fontId="0" fillId="0" borderId="0" xfId="0" applyAlignment="1">
      <alignment horizontal="left" vertical="top" indent="4"/>
    </xf>
    <xf numFmtId="2" fontId="3" fillId="4" borderId="1" xfId="0" applyNumberFormat="1" applyFont="1" applyFill="1" applyBorder="1" applyAlignment="1">
      <alignment horizontal="center" vertical="top"/>
    </xf>
    <xf numFmtId="2" fontId="0" fillId="0" borderId="0" xfId="0" applyNumberFormat="1" applyAlignment="1">
      <alignment vertical="top"/>
    </xf>
    <xf numFmtId="0" fontId="3" fillId="0" borderId="5" xfId="0" applyFont="1" applyBorder="1" applyAlignment="1">
      <alignment vertical="top"/>
    </xf>
    <xf numFmtId="0" fontId="3" fillId="0" borderId="4" xfId="0" applyFont="1" applyBorder="1" applyAlignment="1">
      <alignment vertical="top"/>
    </xf>
    <xf numFmtId="0" fontId="0" fillId="6" borderId="4" xfId="0" applyFill="1" applyBorder="1" applyAlignment="1">
      <alignment horizontal="left" vertical="top" wrapText="1"/>
    </xf>
    <xf numFmtId="0" fontId="0" fillId="6" borderId="1" xfId="0" applyFill="1" applyBorder="1" applyAlignment="1">
      <alignment vertical="top" wrapText="1"/>
    </xf>
    <xf numFmtId="0" fontId="9" fillId="0" borderId="1" xfId="0" applyFont="1" applyBorder="1" applyAlignment="1">
      <alignment horizontal="left" vertical="top" wrapText="1"/>
    </xf>
    <xf numFmtId="0" fontId="0" fillId="6" borderId="6" xfId="0" applyFill="1" applyBorder="1" applyAlignment="1">
      <alignment horizontal="center" vertical="top"/>
    </xf>
    <xf numFmtId="1" fontId="0" fillId="2" borderId="1" xfId="1" applyNumberFormat="1" applyFont="1" applyFill="1" applyBorder="1" applyAlignment="1">
      <alignment horizontal="center" vertical="top"/>
    </xf>
    <xf numFmtId="0" fontId="10" fillId="0" borderId="1" xfId="0" applyFont="1" applyBorder="1" applyAlignment="1">
      <alignment horizontal="left" vertical="top"/>
    </xf>
    <xf numFmtId="0" fontId="0" fillId="9" borderId="1" xfId="0" applyFill="1" applyBorder="1" applyAlignment="1">
      <alignment horizontal="center" vertical="top"/>
    </xf>
    <xf numFmtId="0" fontId="0" fillId="2" borderId="1" xfId="0" applyFill="1" applyBorder="1" applyAlignment="1">
      <alignment horizontal="center" vertical="top"/>
    </xf>
    <xf numFmtId="164" fontId="0" fillId="0" borderId="1" xfId="0" applyNumberFormat="1" applyBorder="1" applyAlignment="1">
      <alignment vertical="top"/>
    </xf>
    <xf numFmtId="0" fontId="0" fillId="6" borderId="0" xfId="0" applyFill="1" applyAlignment="1">
      <alignment vertical="top" wrapText="1"/>
    </xf>
    <xf numFmtId="0" fontId="7" fillId="3" borderId="1" xfId="0" applyFont="1" applyFill="1" applyBorder="1" applyAlignment="1">
      <alignment horizontal="center" vertical="top" wrapText="1"/>
    </xf>
    <xf numFmtId="0" fontId="3" fillId="3" borderId="1" xfId="0" applyFont="1" applyFill="1" applyBorder="1" applyAlignment="1">
      <alignment vertical="top"/>
    </xf>
    <xf numFmtId="0" fontId="3" fillId="3" borderId="1" xfId="0" applyFont="1" applyFill="1" applyBorder="1" applyAlignment="1">
      <alignment horizontal="left" vertical="top" wrapText="1"/>
    </xf>
    <xf numFmtId="0" fontId="4" fillId="5" borderId="3" xfId="0" applyFont="1" applyFill="1" applyBorder="1" applyAlignment="1">
      <alignment horizontal="center" vertical="top"/>
    </xf>
    <xf numFmtId="0" fontId="7" fillId="3" borderId="6" xfId="0" applyFont="1" applyFill="1" applyBorder="1" applyAlignment="1">
      <alignment horizontal="center" vertical="top"/>
    </xf>
    <xf numFmtId="0" fontId="4" fillId="5" borderId="5" xfId="0" applyFont="1" applyFill="1" applyBorder="1" applyAlignment="1">
      <alignment horizontal="center" vertical="top"/>
    </xf>
    <xf numFmtId="0" fontId="0" fillId="6" borderId="7" xfId="0" applyFill="1" applyBorder="1" applyAlignment="1">
      <alignment horizontal="center" vertical="top"/>
    </xf>
    <xf numFmtId="0" fontId="0" fillId="6" borderId="4" xfId="0" applyFill="1" applyBorder="1" applyAlignment="1">
      <alignment horizontal="left" vertical="top"/>
    </xf>
    <xf numFmtId="0" fontId="0" fillId="2" borderId="4" xfId="0" applyFill="1" applyBorder="1" applyAlignment="1">
      <alignment horizontal="left" vertical="top" wrapText="1"/>
    </xf>
    <xf numFmtId="0" fontId="0" fillId="0" borderId="4" xfId="0" applyBorder="1" applyAlignment="1">
      <alignment horizontal="center" vertical="top"/>
    </xf>
    <xf numFmtId="2" fontId="0" fillId="0" borderId="4" xfId="0" applyNumberFormat="1" applyBorder="1" applyAlignment="1">
      <alignment horizontal="center" vertical="top"/>
    </xf>
    <xf numFmtId="0" fontId="0" fillId="2" borderId="4" xfId="0" applyFill="1" applyBorder="1" applyAlignment="1">
      <alignment vertical="top"/>
    </xf>
    <xf numFmtId="0" fontId="10" fillId="0" borderId="4" xfId="0" applyFont="1" applyBorder="1" applyAlignment="1">
      <alignment horizontal="left" vertical="top"/>
    </xf>
    <xf numFmtId="1" fontId="0" fillId="0" borderId="4" xfId="1" applyNumberFormat="1" applyFont="1" applyFill="1" applyBorder="1" applyAlignment="1">
      <alignment horizontal="center" vertical="top"/>
    </xf>
    <xf numFmtId="2" fontId="0" fillId="2" borderId="4" xfId="0" applyNumberFormat="1" applyFill="1" applyBorder="1" applyAlignment="1">
      <alignment horizontal="center" vertical="top"/>
    </xf>
    <xf numFmtId="0" fontId="8" fillId="8" borderId="4" xfId="0" applyFont="1" applyFill="1" applyBorder="1" applyAlignment="1">
      <alignment horizontal="left" vertical="top" wrapText="1"/>
    </xf>
    <xf numFmtId="0" fontId="0" fillId="0" borderId="4" xfId="0" applyBorder="1" applyAlignment="1">
      <alignment horizontal="left" vertical="top" wrapText="1"/>
    </xf>
    <xf numFmtId="0" fontId="0" fillId="6" borderId="4" xfId="0" applyFill="1" applyBorder="1" applyAlignment="1">
      <alignment vertical="top" wrapText="1"/>
    </xf>
    <xf numFmtId="4" fontId="0" fillId="0" borderId="4" xfId="0" applyNumberFormat="1" applyBorder="1" applyAlignment="1">
      <alignment horizontal="center" vertical="top"/>
    </xf>
    <xf numFmtId="2" fontId="0" fillId="6" borderId="4" xfId="0" applyNumberFormat="1" applyFill="1" applyBorder="1" applyAlignment="1">
      <alignment horizontal="center" vertical="top"/>
    </xf>
    <xf numFmtId="1" fontId="0" fillId="0" borderId="4" xfId="0" applyNumberFormat="1" applyBorder="1" applyAlignment="1">
      <alignment horizontal="center" vertical="top"/>
    </xf>
    <xf numFmtId="0" fontId="4" fillId="5" borderId="1" xfId="0" applyFont="1" applyFill="1" applyBorder="1" applyAlignment="1">
      <alignment horizontal="left" vertical="top"/>
    </xf>
    <xf numFmtId="0" fontId="9" fillId="0" borderId="4" xfId="0" applyFont="1" applyBorder="1" applyAlignment="1">
      <alignment horizontal="left" vertical="top" wrapText="1"/>
    </xf>
    <xf numFmtId="0" fontId="11" fillId="0" borderId="4" xfId="0" applyFont="1" applyBorder="1" applyAlignment="1">
      <alignment vertical="top" wrapText="1"/>
    </xf>
    <xf numFmtId="0" fontId="9" fillId="7" borderId="1" xfId="0" applyFont="1" applyFill="1" applyBorder="1" applyAlignment="1">
      <alignment horizontal="left" vertical="top" wrapText="1"/>
    </xf>
    <xf numFmtId="0" fontId="12" fillId="0" borderId="1" xfId="0" applyFont="1" applyBorder="1" applyAlignment="1">
      <alignment horizontal="left" vertical="top" wrapText="1"/>
    </xf>
    <xf numFmtId="0" fontId="9" fillId="0" borderId="8" xfId="0" applyFont="1" applyBorder="1" applyAlignment="1">
      <alignment vertical="top" wrapText="1"/>
    </xf>
    <xf numFmtId="0" fontId="12" fillId="0" borderId="4" xfId="0" applyFont="1" applyBorder="1" applyAlignment="1">
      <alignment vertical="top" wrapText="1"/>
    </xf>
    <xf numFmtId="0" fontId="12" fillId="0" borderId="1" xfId="0" applyFont="1" applyBorder="1" applyAlignment="1">
      <alignment vertical="top" wrapText="1"/>
    </xf>
    <xf numFmtId="0" fontId="7" fillId="3" borderId="1" xfId="0" applyFont="1" applyFill="1" applyBorder="1" applyAlignment="1">
      <alignment horizontal="left" vertical="top"/>
    </xf>
    <xf numFmtId="164" fontId="3" fillId="4" borderId="1" xfId="0" applyNumberFormat="1" applyFont="1" applyFill="1" applyBorder="1"/>
    <xf numFmtId="1" fontId="3" fillId="4" borderId="1" xfId="0" applyNumberFormat="1" applyFont="1" applyFill="1" applyBorder="1"/>
    <xf numFmtId="0" fontId="12" fillId="0" borderId="9" xfId="0" applyFont="1" applyBorder="1" applyAlignment="1">
      <alignment vertical="top" wrapText="1"/>
    </xf>
    <xf numFmtId="0" fontId="0" fillId="2" borderId="10" xfId="0" applyFill="1" applyBorder="1" applyAlignment="1">
      <alignment vertical="top"/>
    </xf>
    <xf numFmtId="0" fontId="0" fillId="2" borderId="2" xfId="0" applyFill="1" applyBorder="1" applyAlignment="1">
      <alignment vertical="top"/>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12" fillId="0" borderId="0" xfId="0" applyFont="1" applyAlignment="1">
      <alignment wrapText="1"/>
    </xf>
    <xf numFmtId="0" fontId="0" fillId="0" borderId="2" xfId="0" applyBorder="1" applyAlignment="1">
      <alignment vertical="top"/>
    </xf>
    <xf numFmtId="0" fontId="9" fillId="0" borderId="3" xfId="0" applyFont="1" applyBorder="1" applyAlignment="1">
      <alignment horizontal="left" vertical="top" wrapText="1"/>
    </xf>
    <xf numFmtId="0" fontId="12" fillId="0" borderId="4" xfId="0" applyFont="1" applyBorder="1" applyAlignment="1">
      <alignment horizontal="left" vertical="top" wrapText="1"/>
    </xf>
    <xf numFmtId="0" fontId="14" fillId="0" borderId="5" xfId="0" applyFont="1" applyBorder="1" applyAlignment="1">
      <alignment vertical="top" wrapText="1"/>
    </xf>
    <xf numFmtId="0" fontId="12" fillId="7" borderId="1" xfId="0" applyFont="1" applyFill="1" applyBorder="1" applyAlignment="1">
      <alignment horizontal="left" vertical="top" wrapText="1"/>
    </xf>
    <xf numFmtId="0" fontId="0" fillId="9" borderId="1" xfId="0" applyFill="1" applyBorder="1" applyAlignment="1">
      <alignment horizontal="center"/>
    </xf>
    <xf numFmtId="0" fontId="14" fillId="0" borderId="8" xfId="0" applyFont="1" applyBorder="1" applyAlignment="1">
      <alignment vertical="top" wrapText="1"/>
    </xf>
    <xf numFmtId="0" fontId="8" fillId="0" borderId="1" xfId="0" applyFont="1" applyBorder="1" applyAlignment="1">
      <alignment horizontal="left" vertical="top" wrapText="1"/>
    </xf>
    <xf numFmtId="0" fontId="12" fillId="8" borderId="9" xfId="0" applyFont="1" applyFill="1" applyBorder="1" applyAlignment="1">
      <alignment vertical="top" wrapText="1"/>
    </xf>
    <xf numFmtId="1" fontId="0" fillId="0" borderId="1" xfId="0" applyNumberFormat="1" applyBorder="1" applyAlignment="1">
      <alignment horizontal="center"/>
    </xf>
    <xf numFmtId="0" fontId="3" fillId="0" borderId="1" xfId="0" applyFont="1" applyBorder="1"/>
    <xf numFmtId="0" fontId="0" fillId="6" borderId="7" xfId="0" applyFill="1" applyBorder="1" applyAlignment="1">
      <alignment horizontal="left" vertical="top"/>
    </xf>
    <xf numFmtId="0" fontId="0" fillId="6" borderId="6" xfId="0" applyFill="1" applyBorder="1" applyAlignment="1">
      <alignment horizontal="left" vertical="top"/>
    </xf>
    <xf numFmtId="0" fontId="0" fillId="6" borderId="4" xfId="0" applyFill="1" applyBorder="1" applyAlignment="1">
      <alignment horizontal="left" vertical="top" wrapText="1"/>
    </xf>
    <xf numFmtId="0" fontId="0" fillId="6" borderId="1" xfId="0" applyFill="1" applyBorder="1" applyAlignment="1">
      <alignment horizontal="left" vertical="top" wrapText="1"/>
    </xf>
    <xf numFmtId="0" fontId="1" fillId="0" borderId="1" xfId="0" applyFont="1" applyBorder="1" applyAlignment="1">
      <alignment horizontal="left" vertical="top"/>
    </xf>
    <xf numFmtId="0" fontId="1" fillId="3" borderId="1" xfId="0" applyFont="1" applyFill="1" applyBorder="1" applyAlignment="1">
      <alignment horizontal="left" vertical="top"/>
    </xf>
    <xf numFmtId="0" fontId="0" fillId="6" borderId="6" xfId="0" applyFill="1" applyBorder="1" applyAlignment="1">
      <alignment horizontal="center" vertical="top"/>
    </xf>
    <xf numFmtId="0" fontId="0" fillId="0" borderId="1" xfId="0" applyBorder="1" applyAlignment="1">
      <alignment horizontal="left" vertical="top"/>
    </xf>
    <xf numFmtId="0" fontId="1" fillId="0" borderId="2" xfId="0" applyFont="1" applyBorder="1" applyAlignment="1">
      <alignment horizontal="left" vertical="top"/>
    </xf>
    <xf numFmtId="14" fontId="1" fillId="0" borderId="1" xfId="0" applyNumberFormat="1" applyFont="1" applyBorder="1" applyAlignment="1">
      <alignment horizontal="left" vertical="top"/>
    </xf>
    <xf numFmtId="0" fontId="5" fillId="0" borderId="1" xfId="2" applyFill="1" applyBorder="1" applyAlignment="1">
      <alignment horizontal="left" vertical="top"/>
    </xf>
    <xf numFmtId="0" fontId="0" fillId="0" borderId="1" xfId="0" applyBorder="1" applyAlignment="1">
      <alignment horizontal="left" vertical="top" wrapText="1"/>
    </xf>
    <xf numFmtId="14" fontId="0" fillId="0" borderId="1" xfId="0" applyNumberFormat="1" applyBorder="1" applyAlignment="1">
      <alignment horizontal="left" vertical="top"/>
    </xf>
  </cellXfs>
  <cellStyles count="3">
    <cellStyle name="Hipervínculo" xfId="2" builtinId="8"/>
    <cellStyle name="Normal" xfId="0" builtinId="0"/>
    <cellStyle name="Porcentaje" xfId="1" builtinId="5"/>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ntratacion@indoamericana.edu.co"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info@cicce.edu.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info@gestion-total.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luis.barbosa@incap.edu.co"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E29C9-B025-5E4C-92E0-C703359D72EE}">
  <sheetPr>
    <pageSetUpPr fitToPage="1"/>
  </sheetPr>
  <dimension ref="A1:I100"/>
  <sheetViews>
    <sheetView tabSelected="1" view="pageBreakPreview" zoomScaleNormal="80" zoomScaleSheetLayoutView="100" workbookViewId="0">
      <selection activeCell="A2" sqref="A2"/>
    </sheetView>
  </sheetViews>
  <sheetFormatPr baseColWidth="10" defaultColWidth="11" defaultRowHeight="16"/>
  <cols>
    <col min="1" max="1" width="56.1640625" style="36" bestFit="1" customWidth="1"/>
    <col min="2" max="2" width="5.5" style="36" bestFit="1" customWidth="1"/>
    <col min="3" max="3" width="62.6640625" style="36" bestFit="1" customWidth="1"/>
    <col min="4" max="4" width="46.6640625" style="36" customWidth="1"/>
    <col min="5" max="5" width="40.33203125" style="36" customWidth="1"/>
    <col min="6" max="6" width="30.33203125" style="36" bestFit="1" customWidth="1"/>
    <col min="7" max="7" width="18" style="36" customWidth="1"/>
    <col min="8" max="8" width="15.5" style="36" customWidth="1"/>
    <col min="9" max="9" width="112.33203125" style="36" customWidth="1"/>
    <col min="10" max="16384" width="11" style="36"/>
  </cols>
  <sheetData>
    <row r="1" spans="1:9">
      <c r="A1" s="35" t="s">
        <v>0</v>
      </c>
      <c r="B1" s="112" t="s">
        <v>1</v>
      </c>
      <c r="C1" s="109"/>
      <c r="D1" s="113"/>
      <c r="E1" s="15"/>
      <c r="F1" s="16"/>
      <c r="G1" s="16"/>
      <c r="H1" s="16"/>
      <c r="I1" s="16"/>
    </row>
    <row r="2" spans="1:9">
      <c r="A2" s="35" t="s">
        <v>2</v>
      </c>
      <c r="B2" s="109">
        <v>1</v>
      </c>
      <c r="C2" s="109"/>
      <c r="D2" s="109"/>
      <c r="E2" s="15"/>
      <c r="F2" s="16"/>
      <c r="G2" s="16"/>
      <c r="H2" s="16"/>
      <c r="I2" s="16"/>
    </row>
    <row r="3" spans="1:9">
      <c r="A3" s="35" t="s">
        <v>3</v>
      </c>
      <c r="B3" s="114">
        <v>46098</v>
      </c>
      <c r="C3" s="109"/>
      <c r="D3" s="109"/>
      <c r="E3" s="15"/>
      <c r="F3" s="16"/>
      <c r="G3" s="16"/>
      <c r="H3" s="16"/>
      <c r="I3" s="16"/>
    </row>
    <row r="4" spans="1:9">
      <c r="A4" s="35" t="s">
        <v>4</v>
      </c>
      <c r="B4" s="109" t="s">
        <v>5</v>
      </c>
      <c r="C4" s="109"/>
      <c r="D4" s="109"/>
      <c r="E4" s="15"/>
      <c r="F4" s="16"/>
      <c r="G4" s="16"/>
      <c r="H4" s="16"/>
      <c r="I4" s="16"/>
    </row>
    <row r="5" spans="1:9">
      <c r="A5" s="35" t="s">
        <v>6</v>
      </c>
      <c r="B5" s="115" t="s">
        <v>7</v>
      </c>
      <c r="C5" s="115"/>
      <c r="D5" s="115"/>
      <c r="E5" s="17"/>
      <c r="F5" s="18"/>
      <c r="G5" s="18"/>
      <c r="H5" s="18"/>
      <c r="I5" s="18"/>
    </row>
    <row r="6" spans="1:9">
      <c r="A6" s="35" t="s">
        <v>8</v>
      </c>
      <c r="B6" s="109" t="s">
        <v>9</v>
      </c>
      <c r="C6" s="109"/>
      <c r="D6" s="109"/>
      <c r="E6" s="16"/>
      <c r="F6" s="16"/>
      <c r="G6" s="16"/>
      <c r="H6" s="16"/>
      <c r="I6" s="16"/>
    </row>
    <row r="7" spans="1:9">
      <c r="A7" s="35" t="s">
        <v>10</v>
      </c>
      <c r="B7" s="109" t="s">
        <v>11</v>
      </c>
      <c r="C7" s="109"/>
      <c r="D7" s="109"/>
      <c r="E7" s="16"/>
      <c r="F7" s="16"/>
      <c r="G7" s="16"/>
      <c r="H7" s="16"/>
      <c r="I7" s="16"/>
    </row>
    <row r="8" spans="1:9">
      <c r="A8" s="35" t="s">
        <v>12</v>
      </c>
      <c r="B8" s="110">
        <f>+IF($B$7="Evaluado",(G26+G23+G21+G18),0)</f>
        <v>41.003032928942808</v>
      </c>
      <c r="C8" s="110"/>
      <c r="D8" s="110"/>
      <c r="E8" s="16"/>
      <c r="F8" s="16"/>
      <c r="G8" s="16"/>
      <c r="H8" s="16"/>
      <c r="I8" s="16"/>
    </row>
    <row r="9" spans="1:9">
      <c r="A9" s="37">
        <v>2621493</v>
      </c>
    </row>
    <row r="10" spans="1:9" ht="34">
      <c r="A10" s="59" t="s">
        <v>13</v>
      </c>
      <c r="B10" s="38" t="s">
        <v>14</v>
      </c>
      <c r="C10" s="38" t="s">
        <v>15</v>
      </c>
      <c r="D10" s="38" t="s">
        <v>16</v>
      </c>
      <c r="E10" s="39" t="s">
        <v>17</v>
      </c>
      <c r="F10" s="38" t="s">
        <v>18</v>
      </c>
      <c r="G10" s="38"/>
      <c r="H10" s="38" t="s">
        <v>19</v>
      </c>
      <c r="I10" s="38" t="s">
        <v>20</v>
      </c>
    </row>
    <row r="11" spans="1:9" ht="84" customHeight="1">
      <c r="A11" s="57" t="s">
        <v>21</v>
      </c>
      <c r="B11" s="111">
        <v>1</v>
      </c>
      <c r="C11" s="22" t="s">
        <v>22</v>
      </c>
      <c r="D11" s="80" t="s">
        <v>23</v>
      </c>
      <c r="E11" s="25" t="s">
        <v>24</v>
      </c>
      <c r="F11" s="20"/>
      <c r="G11" s="20"/>
      <c r="H11" s="19" t="str">
        <f>+IF(E11="SI","ACEPTADO","RECHAZADO")</f>
        <v>ACEPTADO</v>
      </c>
      <c r="I11" s="81" t="s">
        <v>25</v>
      </c>
    </row>
    <row r="12" spans="1:9" ht="102">
      <c r="A12" s="44"/>
      <c r="B12" s="111"/>
      <c r="C12" s="22" t="s">
        <v>26</v>
      </c>
      <c r="D12" s="80" t="s">
        <v>23</v>
      </c>
      <c r="E12" s="53"/>
      <c r="F12" s="54">
        <v>64600000</v>
      </c>
      <c r="G12" s="20"/>
      <c r="H12" s="19" t="str">
        <f>+IF(F12&lt;=Datos!B29,"ACEPTADO","RECHAZADO")</f>
        <v>ACEPTADO</v>
      </c>
      <c r="I12" s="81" t="s">
        <v>27</v>
      </c>
    </row>
    <row r="13" spans="1:9" ht="102">
      <c r="A13" s="44"/>
      <c r="B13" s="49">
        <v>2</v>
      </c>
      <c r="C13" s="22" t="s">
        <v>28</v>
      </c>
      <c r="D13" s="80" t="s">
        <v>23</v>
      </c>
      <c r="E13" s="25" t="s">
        <v>24</v>
      </c>
      <c r="F13" s="47" t="s">
        <v>29</v>
      </c>
      <c r="G13" s="21">
        <v>850000</v>
      </c>
      <c r="H13" s="19" t="str">
        <f>+IF(G13&lt;=Datos!B28,"ACEPTADO","RECHAZADO")</f>
        <v>ACEPTADO</v>
      </c>
      <c r="I13" s="48" t="s">
        <v>30</v>
      </c>
    </row>
    <row r="14" spans="1:9" ht="120" customHeight="1">
      <c r="A14" s="44"/>
      <c r="B14" s="49">
        <v>3</v>
      </c>
      <c r="C14" s="22" t="s">
        <v>31</v>
      </c>
      <c r="D14" s="80" t="s">
        <v>32</v>
      </c>
      <c r="E14" s="25" t="s">
        <v>24</v>
      </c>
      <c r="F14" s="20"/>
      <c r="G14" s="20"/>
      <c r="H14" s="19" t="str">
        <f>+IF(E14="SI","ACEPTADO","RECHAZADO")</f>
        <v>ACEPTADO</v>
      </c>
      <c r="I14" s="81" t="s">
        <v>33</v>
      </c>
    </row>
    <row r="15" spans="1:9" ht="119">
      <c r="A15" s="44"/>
      <c r="B15" s="49">
        <v>4</v>
      </c>
      <c r="C15" s="22" t="s">
        <v>34</v>
      </c>
      <c r="D15" s="80" t="s">
        <v>35</v>
      </c>
      <c r="E15" s="25" t="s">
        <v>24</v>
      </c>
      <c r="F15" s="20"/>
      <c r="G15" s="20"/>
      <c r="H15" s="19" t="str">
        <f>+IF(E15="SI","ACEPTADO","RECHAZADO")</f>
        <v>ACEPTADO</v>
      </c>
      <c r="I15" s="81" t="s">
        <v>36</v>
      </c>
    </row>
    <row r="16" spans="1:9" ht="60" customHeight="1">
      <c r="A16" s="45"/>
      <c r="B16" s="49">
        <v>5</v>
      </c>
      <c r="C16" s="22" t="s">
        <v>37</v>
      </c>
      <c r="D16" s="80" t="s">
        <v>38</v>
      </c>
      <c r="E16" s="25" t="s">
        <v>39</v>
      </c>
      <c r="F16" s="20"/>
      <c r="G16" s="20"/>
      <c r="H16" s="19" t="str">
        <f>+IF(E16="NO","ACEPTADO","RECHAZADO")</f>
        <v>ACEPTADO</v>
      </c>
      <c r="I16" s="48"/>
    </row>
    <row r="17" spans="1:9" ht="60" customHeight="1">
      <c r="A17" s="61" t="s">
        <v>40</v>
      </c>
      <c r="B17" s="38" t="s">
        <v>14</v>
      </c>
      <c r="C17" s="38" t="s">
        <v>41</v>
      </c>
      <c r="D17" s="38"/>
      <c r="E17" s="38"/>
      <c r="F17" s="38"/>
      <c r="G17" s="38" t="s">
        <v>42</v>
      </c>
      <c r="H17" s="38"/>
      <c r="I17" s="77"/>
    </row>
    <row r="18" spans="1:9" s="40" customFormat="1" ht="60" customHeight="1">
      <c r="A18" s="57" t="s">
        <v>43</v>
      </c>
      <c r="B18" s="60"/>
      <c r="C18" s="85" t="s">
        <v>44</v>
      </c>
      <c r="D18" s="24" t="s">
        <v>45</v>
      </c>
      <c r="E18" s="24" t="s">
        <v>46</v>
      </c>
      <c r="F18" s="24" t="s">
        <v>47</v>
      </c>
      <c r="G18" s="26">
        <f>+MAX(G19:G20)</f>
        <v>30.5</v>
      </c>
      <c r="H18" s="23"/>
      <c r="I18" s="58"/>
    </row>
    <row r="19" spans="1:9" ht="185" customHeight="1">
      <c r="A19" s="29"/>
      <c r="B19" s="62" t="s">
        <v>48</v>
      </c>
      <c r="C19" s="46" t="s">
        <v>49</v>
      </c>
      <c r="D19" s="72" t="s">
        <v>50</v>
      </c>
      <c r="E19" s="46" t="s">
        <v>51</v>
      </c>
      <c r="F19" s="65" t="s">
        <v>39</v>
      </c>
      <c r="G19" s="75">
        <f>+IF(F19="SI",Datos!C3,0)</f>
        <v>0</v>
      </c>
      <c r="H19" s="67"/>
      <c r="I19" s="72"/>
    </row>
    <row r="20" spans="1:9" ht="167" customHeight="1">
      <c r="A20" s="29"/>
      <c r="B20" s="49" t="s">
        <v>52</v>
      </c>
      <c r="C20" s="22" t="s">
        <v>53</v>
      </c>
      <c r="D20" s="13" t="s">
        <v>50</v>
      </c>
      <c r="E20" s="22" t="s">
        <v>54</v>
      </c>
      <c r="F20" s="25" t="s">
        <v>24</v>
      </c>
      <c r="G20" s="27">
        <f>+IF(F20="SI",Datos!C4,0)</f>
        <v>30.5</v>
      </c>
      <c r="H20" s="20"/>
      <c r="I20" s="72" t="s">
        <v>55</v>
      </c>
    </row>
    <row r="21" spans="1:9" s="40" customFormat="1" ht="60" customHeight="1">
      <c r="A21" s="57" t="s">
        <v>56</v>
      </c>
      <c r="B21" s="60"/>
      <c r="C21" s="23" t="s">
        <v>57</v>
      </c>
      <c r="D21" s="24" t="s">
        <v>45</v>
      </c>
      <c r="E21" s="24"/>
      <c r="F21" s="24" t="s">
        <v>47</v>
      </c>
      <c r="G21" s="26">
        <f>+SUM(G22:G22)</f>
        <v>0</v>
      </c>
      <c r="H21" s="56" t="s">
        <v>58</v>
      </c>
      <c r="I21" s="58"/>
    </row>
    <row r="22" spans="1:9" ht="381" customHeight="1">
      <c r="A22" s="29"/>
      <c r="B22" s="62" t="s">
        <v>59</v>
      </c>
      <c r="C22" s="63" t="s">
        <v>60</v>
      </c>
      <c r="D22" s="72" t="s">
        <v>23</v>
      </c>
      <c r="E22" s="73" t="s">
        <v>29</v>
      </c>
      <c r="F22" s="74">
        <f>+G13</f>
        <v>850000</v>
      </c>
      <c r="G22" s="75">
        <f>IF(IF($H$13="ACEPTADO",((Datos!$C$7*(Medidas!$C$9/F22))),0)&lt;Medidas!D13,0,IF($H$13="ACEPTADO",((Datos!$C$7*(Medidas!$C$9/F22))),0))</f>
        <v>0</v>
      </c>
      <c r="H22" s="76">
        <v>76</v>
      </c>
      <c r="I22" s="48" t="s">
        <v>61</v>
      </c>
    </row>
    <row r="23" spans="1:9" s="40" customFormat="1" ht="60" customHeight="1">
      <c r="A23" s="57" t="s">
        <v>62</v>
      </c>
      <c r="B23" s="60"/>
      <c r="C23" s="23" t="s">
        <v>63</v>
      </c>
      <c r="D23" s="24" t="s">
        <v>45</v>
      </c>
      <c r="E23" s="24"/>
      <c r="F23" s="24" t="s">
        <v>47</v>
      </c>
      <c r="G23" s="26">
        <f>+G25</f>
        <v>10.253032928942808</v>
      </c>
      <c r="H23" s="23"/>
      <c r="I23" s="58"/>
    </row>
    <row r="24" spans="1:9" ht="129.75" customHeight="1">
      <c r="A24" s="29"/>
      <c r="B24" s="105" t="s">
        <v>64</v>
      </c>
      <c r="C24" s="107" t="s">
        <v>65</v>
      </c>
      <c r="D24" s="68" t="s">
        <v>66</v>
      </c>
      <c r="E24" s="69" t="s">
        <v>24</v>
      </c>
      <c r="F24" s="67"/>
      <c r="G24" s="70"/>
      <c r="H24" s="67"/>
      <c r="I24" s="82" t="s">
        <v>67</v>
      </c>
    </row>
    <row r="25" spans="1:9" ht="165" customHeight="1">
      <c r="A25" s="29"/>
      <c r="B25" s="106"/>
      <c r="C25" s="108"/>
      <c r="D25" s="51" t="s">
        <v>68</v>
      </c>
      <c r="E25" s="50"/>
      <c r="F25" s="28">
        <v>986</v>
      </c>
      <c r="G25" s="27">
        <f>IF(E24="SI",(Datos!$C$10*(Oferta_1_Indoamericana!F25/Medidas!$D$9)),0)</f>
        <v>10.253032928942808</v>
      </c>
      <c r="H25" s="20"/>
      <c r="I25" s="82" t="s">
        <v>163</v>
      </c>
    </row>
    <row r="26" spans="1:9" s="40" customFormat="1" ht="60" customHeight="1">
      <c r="A26" s="57" t="s">
        <v>69</v>
      </c>
      <c r="B26" s="60"/>
      <c r="C26" s="23" t="s">
        <v>70</v>
      </c>
      <c r="D26" s="24" t="s">
        <v>45</v>
      </c>
      <c r="E26" s="24" t="s">
        <v>46</v>
      </c>
      <c r="F26" s="24" t="s">
        <v>47</v>
      </c>
      <c r="G26" s="26">
        <f>+SUM(G27:G28)</f>
        <v>0.25</v>
      </c>
      <c r="H26" s="23"/>
      <c r="I26" s="58"/>
    </row>
    <row r="27" spans="1:9" ht="68">
      <c r="A27" s="29"/>
      <c r="B27" s="62" t="s">
        <v>71</v>
      </c>
      <c r="C27" s="63" t="s">
        <v>72</v>
      </c>
      <c r="D27" s="64"/>
      <c r="E27" s="46" t="s">
        <v>73</v>
      </c>
      <c r="F27" s="65" t="s">
        <v>39</v>
      </c>
      <c r="G27" s="66">
        <f>+IF(F27="SI",Datos!$C$13,0)</f>
        <v>0</v>
      </c>
      <c r="H27" s="67"/>
      <c r="I27" s="79" t="s">
        <v>145</v>
      </c>
    </row>
    <row r="28" spans="1:9" ht="119">
      <c r="A28" s="30"/>
      <c r="B28" s="49" t="s">
        <v>74</v>
      </c>
      <c r="C28" s="22" t="s">
        <v>75</v>
      </c>
      <c r="D28" s="13" t="s">
        <v>76</v>
      </c>
      <c r="E28" s="22" t="s">
        <v>77</v>
      </c>
      <c r="F28" s="25" t="s">
        <v>24</v>
      </c>
      <c r="G28" s="33">
        <f>+IF(F28="SI",Datos!$C$14,0)</f>
        <v>0.25</v>
      </c>
      <c r="H28" s="20"/>
      <c r="I28" s="13" t="s">
        <v>143</v>
      </c>
    </row>
    <row r="29" spans="1:9">
      <c r="B29" s="41"/>
      <c r="E29" s="36" t="s">
        <v>78</v>
      </c>
      <c r="G29" s="42">
        <f>+G26+G23+G21+G18</f>
        <v>41.003032928942808</v>
      </c>
    </row>
    <row r="30" spans="1:9">
      <c r="B30" s="41"/>
    </row>
    <row r="31" spans="1:9">
      <c r="B31" s="41"/>
    </row>
    <row r="32" spans="1:9">
      <c r="B32" s="41"/>
      <c r="G32" s="43"/>
    </row>
    <row r="33" spans="2:2">
      <c r="B33" s="41"/>
    </row>
    <row r="34" spans="2:2">
      <c r="B34" s="41"/>
    </row>
    <row r="35" spans="2:2">
      <c r="B35" s="41"/>
    </row>
    <row r="36" spans="2:2">
      <c r="B36" s="41"/>
    </row>
    <row r="37" spans="2:2">
      <c r="B37" s="41"/>
    </row>
    <row r="38" spans="2:2">
      <c r="B38" s="41"/>
    </row>
    <row r="39" spans="2:2">
      <c r="B39" s="41"/>
    </row>
    <row r="40" spans="2:2">
      <c r="B40" s="41"/>
    </row>
    <row r="41" spans="2:2">
      <c r="B41" s="41"/>
    </row>
    <row r="42" spans="2:2">
      <c r="B42" s="41"/>
    </row>
    <row r="43" spans="2:2">
      <c r="B43" s="41"/>
    </row>
    <row r="44" spans="2:2">
      <c r="B44" s="41"/>
    </row>
    <row r="45" spans="2:2">
      <c r="B45" s="41"/>
    </row>
    <row r="46" spans="2:2">
      <c r="B46" s="41"/>
    </row>
    <row r="47" spans="2:2">
      <c r="B47" s="41"/>
    </row>
    <row r="48" spans="2:2">
      <c r="B48" s="41"/>
    </row>
    <row r="49" spans="2:2">
      <c r="B49" s="41"/>
    </row>
    <row r="50" spans="2:2">
      <c r="B50" s="41"/>
    </row>
    <row r="51" spans="2:2">
      <c r="B51" s="41"/>
    </row>
    <row r="52" spans="2:2">
      <c r="B52" s="41"/>
    </row>
    <row r="53" spans="2:2">
      <c r="B53" s="41"/>
    </row>
    <row r="54" spans="2:2">
      <c r="B54" s="41"/>
    </row>
    <row r="55" spans="2:2">
      <c r="B55" s="41"/>
    </row>
    <row r="56" spans="2:2">
      <c r="B56" s="41"/>
    </row>
    <row r="57" spans="2:2">
      <c r="B57" s="41"/>
    </row>
    <row r="58" spans="2:2">
      <c r="B58" s="41"/>
    </row>
    <row r="59" spans="2:2">
      <c r="B59" s="41"/>
    </row>
    <row r="60" spans="2:2">
      <c r="B60" s="41"/>
    </row>
    <row r="61" spans="2:2">
      <c r="B61" s="41"/>
    </row>
    <row r="62" spans="2:2">
      <c r="B62" s="41"/>
    </row>
    <row r="63" spans="2:2">
      <c r="B63" s="41"/>
    </row>
    <row r="64" spans="2:2">
      <c r="B64" s="41"/>
    </row>
    <row r="65" spans="2:2">
      <c r="B65" s="41"/>
    </row>
    <row r="66" spans="2:2">
      <c r="B66" s="41"/>
    </row>
    <row r="67" spans="2:2">
      <c r="B67" s="41"/>
    </row>
    <row r="68" spans="2:2">
      <c r="B68" s="41"/>
    </row>
    <row r="69" spans="2:2">
      <c r="B69" s="41"/>
    </row>
    <row r="70" spans="2:2">
      <c r="B70" s="41"/>
    </row>
    <row r="71" spans="2:2">
      <c r="B71" s="41"/>
    </row>
    <row r="72" spans="2:2">
      <c r="B72" s="41"/>
    </row>
    <row r="73" spans="2:2">
      <c r="B73" s="41"/>
    </row>
    <row r="74" spans="2:2">
      <c r="B74" s="41"/>
    </row>
    <row r="75" spans="2:2">
      <c r="B75" s="41"/>
    </row>
    <row r="76" spans="2:2">
      <c r="B76" s="41"/>
    </row>
    <row r="77" spans="2:2">
      <c r="B77" s="41"/>
    </row>
    <row r="78" spans="2:2">
      <c r="B78" s="41"/>
    </row>
    <row r="79" spans="2:2">
      <c r="B79" s="41"/>
    </row>
    <row r="80" spans="2:2">
      <c r="B80" s="41"/>
    </row>
    <row r="81" spans="2:2">
      <c r="B81" s="41"/>
    </row>
    <row r="82" spans="2:2">
      <c r="B82" s="41"/>
    </row>
    <row r="83" spans="2:2">
      <c r="B83" s="41"/>
    </row>
    <row r="84" spans="2:2">
      <c r="B84" s="41"/>
    </row>
    <row r="85" spans="2:2">
      <c r="B85" s="41"/>
    </row>
    <row r="86" spans="2:2">
      <c r="B86" s="41"/>
    </row>
    <row r="87" spans="2:2">
      <c r="B87" s="41"/>
    </row>
    <row r="88" spans="2:2">
      <c r="B88" s="41"/>
    </row>
    <row r="89" spans="2:2">
      <c r="B89" s="41"/>
    </row>
    <row r="90" spans="2:2">
      <c r="B90" s="41"/>
    </row>
    <row r="91" spans="2:2">
      <c r="B91" s="41"/>
    </row>
    <row r="92" spans="2:2">
      <c r="B92" s="41"/>
    </row>
    <row r="93" spans="2:2">
      <c r="B93" s="41"/>
    </row>
    <row r="94" spans="2:2">
      <c r="B94" s="41"/>
    </row>
    <row r="95" spans="2:2">
      <c r="B95" s="41"/>
    </row>
    <row r="96" spans="2:2">
      <c r="B96" s="41"/>
    </row>
    <row r="97" spans="2:2">
      <c r="B97" s="41"/>
    </row>
    <row r="98" spans="2:2">
      <c r="B98" s="41"/>
    </row>
    <row r="99" spans="2:2">
      <c r="B99" s="41"/>
    </row>
    <row r="100" spans="2:2">
      <c r="B100" s="41"/>
    </row>
  </sheetData>
  <sheetProtection algorithmName="SHA-512" hashValue="pUFFZLIsw2Eb/ADEPi97xEi2V4ZBYfAHCWrFRlegvXMabeGRqrsvvQVo/li/wYVN5wXtCohZ/WpqWO/0lw8HNA==" saltValue="DxRzZAwK4I6458dR7Kl4VA==" spinCount="100000" sheet="1" formatCells="0" formatColumns="0" formatRows="0" insertColumns="0" insertRows="0" insertHyperlinks="0" deleteColumns="0" deleteRows="0" sort="0" autoFilter="0" pivotTables="0"/>
  <mergeCells count="11">
    <mergeCell ref="B6:D6"/>
    <mergeCell ref="B1:D1"/>
    <mergeCell ref="B2:D2"/>
    <mergeCell ref="B3:D3"/>
    <mergeCell ref="B4:D4"/>
    <mergeCell ref="B5:D5"/>
    <mergeCell ref="B24:B25"/>
    <mergeCell ref="C24:C25"/>
    <mergeCell ref="B7:D7"/>
    <mergeCell ref="B8:D8"/>
    <mergeCell ref="B11:B12"/>
  </mergeCells>
  <phoneticPr fontId="2" type="noConversion"/>
  <conditionalFormatting sqref="H11:H16">
    <cfRule type="containsText" dxfId="15" priority="1" operator="containsText" text="ACEPTADO">
      <formula>NOT(ISERROR(SEARCH("ACEPTADO",H11)))</formula>
    </cfRule>
    <cfRule type="cellIs" dxfId="14" priority="2" operator="equal">
      <formula>"RECHAZADO"</formula>
    </cfRule>
    <cfRule type="cellIs" dxfId="13" priority="3" operator="equal">
      <formula>"""Rechazado"""</formula>
    </cfRule>
  </conditionalFormatting>
  <hyperlinks>
    <hyperlink ref="B5" r:id="rId1" xr:uid="{FDF0E4F0-D7DE-1C45-8B85-8B53DC60CFBC}"/>
  </hyperlinks>
  <printOptions horizontalCentered="1"/>
  <pageMargins left="0.25" right="0.25" top="0.75" bottom="0.75" header="0.3" footer="0.3"/>
  <pageSetup paperSize="5" scale="40" fitToHeight="0" orientation="landscape" r:id="rId2"/>
  <rowBreaks count="2" manualBreakCount="2">
    <brk id="19" max="8" man="1"/>
    <brk id="28" max="16383" man="1"/>
  </rowBreaks>
  <extLst>
    <ext xmlns:x14="http://schemas.microsoft.com/office/spreadsheetml/2009/9/main" uri="{CCE6A557-97BC-4b89-ADB6-D9C93CAAB3DF}">
      <x14:dataValidations xmlns:xm="http://schemas.microsoft.com/office/excel/2006/main" count="3">
        <x14:dataValidation type="list" allowBlank="1" showInputMessage="1" showErrorMessage="1" xr:uid="{3A8A9388-A947-C649-8EA0-F8FB6EE42B7B}">
          <x14:formula1>
            <xm:f>Datos!$A$20:$A$21</xm:f>
          </x14:formula1>
          <xm:sqref>B7 E7:I7</xm:sqref>
        </x14:dataValidation>
        <x14:dataValidation type="list" allowBlank="1" showInputMessage="1" showErrorMessage="1" xr:uid="{091704BB-2E94-404C-9DE0-4030E6FF4DE2}">
          <x14:formula1>
            <xm:f>Datos!$F$2:$F$4</xm:f>
          </x14:formula1>
          <xm:sqref>B2:I2</xm:sqref>
        </x14:dataValidation>
        <x14:dataValidation type="list" allowBlank="1" showInputMessage="1" showErrorMessage="1" xr:uid="{3C9A0DA2-9A58-AC4C-B5B7-4110EB77D0FC}">
          <x14:formula1>
            <xm:f>Datos!$A$16:$A$17</xm:f>
          </x14:formula1>
          <xm:sqref>E24 F19:F20 F27:F28 E11:E16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ED52-B812-2144-9B54-C680511D16D9}">
  <sheetPr>
    <pageSetUpPr fitToPage="1"/>
  </sheetPr>
  <dimension ref="A1:I100"/>
  <sheetViews>
    <sheetView view="pageBreakPreview" topLeftCell="B24" zoomScaleNormal="80" zoomScaleSheetLayoutView="100" workbookViewId="0">
      <selection activeCell="F28" sqref="F28"/>
    </sheetView>
  </sheetViews>
  <sheetFormatPr baseColWidth="10" defaultColWidth="11" defaultRowHeight="16"/>
  <cols>
    <col min="1" max="1" width="56.1640625" style="36" bestFit="1" customWidth="1"/>
    <col min="2" max="2" width="5.5" style="36" bestFit="1" customWidth="1"/>
    <col min="3" max="3" width="62.6640625" style="36" bestFit="1" customWidth="1"/>
    <col min="4" max="4" width="46.6640625" style="36" customWidth="1"/>
    <col min="5" max="5" width="40.33203125" style="36" customWidth="1"/>
    <col min="6" max="6" width="30.33203125" style="36" bestFit="1" customWidth="1"/>
    <col min="7" max="7" width="18" style="36" customWidth="1"/>
    <col min="8" max="8" width="15.5" style="36" customWidth="1"/>
    <col min="9" max="9" width="134.33203125" style="36" customWidth="1"/>
    <col min="10" max="16384" width="11" style="36"/>
  </cols>
  <sheetData>
    <row r="1" spans="1:9">
      <c r="A1" s="35" t="s">
        <v>0</v>
      </c>
      <c r="B1" s="116" t="s">
        <v>79</v>
      </c>
      <c r="C1" s="109"/>
      <c r="D1" s="113"/>
      <c r="E1" s="15"/>
      <c r="F1" s="16"/>
      <c r="G1" s="16"/>
      <c r="H1" s="16"/>
      <c r="I1" s="16"/>
    </row>
    <row r="2" spans="1:9">
      <c r="A2" s="35" t="s">
        <v>2</v>
      </c>
      <c r="B2" s="109">
        <v>2</v>
      </c>
      <c r="C2" s="109"/>
      <c r="D2" s="109"/>
      <c r="E2" s="15"/>
      <c r="F2" s="16"/>
      <c r="G2" s="16"/>
      <c r="H2" s="16"/>
      <c r="I2" s="16"/>
    </row>
    <row r="3" spans="1:9">
      <c r="A3" s="35" t="s">
        <v>3</v>
      </c>
      <c r="B3" s="117">
        <v>46098</v>
      </c>
      <c r="C3" s="112"/>
      <c r="D3" s="112"/>
      <c r="E3" s="15"/>
      <c r="F3" s="16"/>
      <c r="G3" s="16"/>
      <c r="H3" s="16"/>
      <c r="I3" s="16"/>
    </row>
    <row r="4" spans="1:9">
      <c r="A4" s="35" t="s">
        <v>4</v>
      </c>
      <c r="B4" s="109" t="s">
        <v>80</v>
      </c>
      <c r="C4" s="109"/>
      <c r="D4" s="109"/>
      <c r="E4" s="15"/>
      <c r="F4" s="16"/>
      <c r="G4" s="16"/>
      <c r="H4" s="16"/>
      <c r="I4" s="16"/>
    </row>
    <row r="5" spans="1:9">
      <c r="A5" s="35" t="s">
        <v>6</v>
      </c>
      <c r="B5" s="115" t="s">
        <v>81</v>
      </c>
      <c r="C5" s="115"/>
      <c r="D5" s="115"/>
      <c r="E5" s="17"/>
      <c r="F5" s="18"/>
      <c r="G5" s="18"/>
      <c r="H5" s="18"/>
      <c r="I5" s="18"/>
    </row>
    <row r="6" spans="1:9">
      <c r="A6" s="35" t="s">
        <v>8</v>
      </c>
      <c r="B6" s="109">
        <v>3168048525</v>
      </c>
      <c r="C6" s="109"/>
      <c r="D6" s="109"/>
      <c r="E6" s="16"/>
      <c r="F6" s="16"/>
      <c r="G6" s="16"/>
      <c r="H6" s="16"/>
      <c r="I6" s="16"/>
    </row>
    <row r="7" spans="1:9">
      <c r="A7" s="35" t="s">
        <v>10</v>
      </c>
      <c r="B7" s="109" t="s">
        <v>11</v>
      </c>
      <c r="C7" s="109"/>
      <c r="D7" s="109"/>
      <c r="E7" s="16"/>
      <c r="F7" s="16"/>
      <c r="G7" s="16"/>
      <c r="H7" s="16"/>
      <c r="I7" s="16"/>
    </row>
    <row r="8" spans="1:9">
      <c r="A8" s="35" t="s">
        <v>12</v>
      </c>
      <c r="B8" s="110">
        <f>+IF($B$7="Evaluado",(G26+G23+G21+G18),0)</f>
        <v>47.051369863013697</v>
      </c>
      <c r="C8" s="110"/>
      <c r="D8" s="110"/>
      <c r="E8" s="16"/>
      <c r="F8" s="16"/>
      <c r="G8" s="16"/>
      <c r="H8" s="16"/>
      <c r="I8" s="16"/>
    </row>
    <row r="9" spans="1:9">
      <c r="A9" s="37">
        <v>2621493</v>
      </c>
    </row>
    <row r="10" spans="1:9" ht="34">
      <c r="A10" s="59" t="s">
        <v>13</v>
      </c>
      <c r="B10" s="38" t="s">
        <v>14</v>
      </c>
      <c r="C10" s="38" t="s">
        <v>15</v>
      </c>
      <c r="D10" s="38" t="s">
        <v>16</v>
      </c>
      <c r="E10" s="39" t="s">
        <v>17</v>
      </c>
      <c r="F10" s="38" t="s">
        <v>18</v>
      </c>
      <c r="G10" s="38"/>
      <c r="H10" s="38" t="s">
        <v>19</v>
      </c>
      <c r="I10" s="38" t="s">
        <v>20</v>
      </c>
    </row>
    <row r="11" spans="1:9" ht="68">
      <c r="A11" s="57" t="s">
        <v>21</v>
      </c>
      <c r="B11" s="111">
        <v>1</v>
      </c>
      <c r="C11" s="22" t="s">
        <v>22</v>
      </c>
      <c r="D11" s="80" t="s">
        <v>23</v>
      </c>
      <c r="E11" s="25" t="s">
        <v>24</v>
      </c>
      <c r="F11" s="20"/>
      <c r="G11" s="20"/>
      <c r="H11" s="19" t="str">
        <f>+IF(E11="SI","ACEPTADO","RECHAZADO")</f>
        <v>ACEPTADO</v>
      </c>
      <c r="I11" s="48" t="s">
        <v>25</v>
      </c>
    </row>
    <row r="12" spans="1:9" ht="85">
      <c r="A12" s="44"/>
      <c r="B12" s="111"/>
      <c r="C12" s="22" t="s">
        <v>26</v>
      </c>
      <c r="D12" s="80" t="s">
        <v>23</v>
      </c>
      <c r="E12" s="53"/>
      <c r="F12" s="54">
        <v>64605000</v>
      </c>
      <c r="G12" s="20"/>
      <c r="H12" s="19" t="str">
        <f>+IF(F12&lt;=Datos!B29,"ACEPTADO","RECHAZADO")</f>
        <v>ACEPTADO</v>
      </c>
      <c r="I12" s="48" t="s">
        <v>82</v>
      </c>
    </row>
    <row r="13" spans="1:9" ht="85">
      <c r="A13" s="44"/>
      <c r="B13" s="49">
        <v>2</v>
      </c>
      <c r="C13" s="22" t="s">
        <v>28</v>
      </c>
      <c r="D13" s="80" t="s">
        <v>23</v>
      </c>
      <c r="E13" s="25" t="s">
        <v>24</v>
      </c>
      <c r="F13" s="47" t="s">
        <v>29</v>
      </c>
      <c r="G13" s="21">
        <v>1095000</v>
      </c>
      <c r="H13" s="19" t="str">
        <f>+IF(G13&lt;=Datos!B28,"ACEPTADO","RECHAZADO")</f>
        <v>ACEPTADO</v>
      </c>
      <c r="I13" s="95" t="s">
        <v>83</v>
      </c>
    </row>
    <row r="14" spans="1:9" ht="102">
      <c r="A14" s="44"/>
      <c r="B14" s="49">
        <v>3</v>
      </c>
      <c r="C14" s="22" t="s">
        <v>31</v>
      </c>
      <c r="D14" s="98" t="s">
        <v>32</v>
      </c>
      <c r="E14" s="25" t="s">
        <v>24</v>
      </c>
      <c r="F14" s="20"/>
      <c r="G14" s="20"/>
      <c r="H14" s="94" t="str">
        <f>+IF(E14="SI","ACEPTADO","RECHAZADO")</f>
        <v>ACEPTADO</v>
      </c>
      <c r="I14" s="102" t="s">
        <v>33</v>
      </c>
    </row>
    <row r="15" spans="1:9" ht="159" customHeight="1">
      <c r="A15" s="44"/>
      <c r="B15" s="49">
        <v>4</v>
      </c>
      <c r="C15" s="22" t="s">
        <v>34</v>
      </c>
      <c r="D15" s="80" t="s">
        <v>35</v>
      </c>
      <c r="E15" s="25" t="s">
        <v>24</v>
      </c>
      <c r="F15" s="20"/>
      <c r="G15" s="20"/>
      <c r="H15" s="19" t="str">
        <f>+IF(E15="SI","ACEPTADO","RECHAZADO")</f>
        <v>ACEPTADO</v>
      </c>
      <c r="I15" s="96" t="s">
        <v>36</v>
      </c>
    </row>
    <row r="16" spans="1:9" ht="60" customHeight="1">
      <c r="A16" s="45"/>
      <c r="B16" s="49">
        <v>5</v>
      </c>
      <c r="C16" s="22" t="s">
        <v>37</v>
      </c>
      <c r="D16" s="80" t="s">
        <v>38</v>
      </c>
      <c r="E16" s="25" t="s">
        <v>39</v>
      </c>
      <c r="F16" s="20"/>
      <c r="G16" s="20"/>
      <c r="H16" s="19" t="str">
        <f>+IF(E16="NO","ACEPTADO","RECHAZADO")</f>
        <v>ACEPTADO</v>
      </c>
      <c r="I16" s="48"/>
    </row>
    <row r="17" spans="1:9" ht="60" customHeight="1">
      <c r="A17" s="61" t="s">
        <v>40</v>
      </c>
      <c r="B17" s="38" t="s">
        <v>14</v>
      </c>
      <c r="C17" s="38" t="s">
        <v>41</v>
      </c>
      <c r="D17" s="38"/>
      <c r="E17" s="38"/>
      <c r="F17" s="38"/>
      <c r="G17" s="38" t="s">
        <v>42</v>
      </c>
      <c r="H17" s="38"/>
      <c r="I17" s="77"/>
    </row>
    <row r="18" spans="1:9" s="40" customFormat="1" ht="60" customHeight="1">
      <c r="A18" s="57" t="s">
        <v>43</v>
      </c>
      <c r="B18" s="60"/>
      <c r="C18" s="85" t="s">
        <v>44</v>
      </c>
      <c r="D18" s="24" t="s">
        <v>45</v>
      </c>
      <c r="E18" s="24" t="s">
        <v>46</v>
      </c>
      <c r="F18" s="24" t="s">
        <v>47</v>
      </c>
      <c r="G18" s="26">
        <f>+MAX(G19:G20)</f>
        <v>30.5</v>
      </c>
      <c r="H18" s="23"/>
      <c r="I18" s="58"/>
    </row>
    <row r="19" spans="1:9" ht="185" customHeight="1">
      <c r="A19" s="29"/>
      <c r="B19" s="62" t="s">
        <v>48</v>
      </c>
      <c r="C19" s="46" t="s">
        <v>49</v>
      </c>
      <c r="D19" s="13" t="s">
        <v>50</v>
      </c>
      <c r="E19" s="46" t="s">
        <v>51</v>
      </c>
      <c r="F19" s="65" t="s">
        <v>39</v>
      </c>
      <c r="G19" s="75">
        <f>+IF(F19="SI",Datos!C3,0)</f>
        <v>0</v>
      </c>
      <c r="H19" s="67"/>
      <c r="I19" s="72"/>
    </row>
    <row r="20" spans="1:9" ht="167" customHeight="1">
      <c r="A20" s="29"/>
      <c r="B20" s="49" t="s">
        <v>52</v>
      </c>
      <c r="C20" s="22" t="s">
        <v>53</v>
      </c>
      <c r="D20" s="13" t="s">
        <v>50</v>
      </c>
      <c r="E20" s="22" t="s">
        <v>54</v>
      </c>
      <c r="F20" s="25" t="s">
        <v>24</v>
      </c>
      <c r="G20" s="27">
        <f>+IF(F20="SI",Datos!C4,0)</f>
        <v>30.5</v>
      </c>
      <c r="H20" s="20"/>
      <c r="I20" s="72" t="s">
        <v>84</v>
      </c>
    </row>
    <row r="21" spans="1:9" s="40" customFormat="1" ht="60" customHeight="1">
      <c r="A21" s="57" t="s">
        <v>56</v>
      </c>
      <c r="B21" s="60"/>
      <c r="C21" s="23" t="s">
        <v>57</v>
      </c>
      <c r="D21" s="24" t="s">
        <v>45</v>
      </c>
      <c r="E21" s="24"/>
      <c r="F21" s="24" t="s">
        <v>47</v>
      </c>
      <c r="G21" s="26">
        <f>+SUM(G22:G22)</f>
        <v>16.301369863013697</v>
      </c>
      <c r="H21" s="56" t="s">
        <v>58</v>
      </c>
      <c r="I21" s="58"/>
    </row>
    <row r="22" spans="1:9" ht="136">
      <c r="A22" s="29"/>
      <c r="B22" s="62" t="s">
        <v>59</v>
      </c>
      <c r="C22" s="63" t="s">
        <v>60</v>
      </c>
      <c r="D22" s="72" t="s">
        <v>23</v>
      </c>
      <c r="E22" s="73" t="s">
        <v>29</v>
      </c>
      <c r="F22" s="74">
        <f>+G13</f>
        <v>1095000</v>
      </c>
      <c r="G22" s="75">
        <f>IF($H$13="ACEPTADO",((Datos!$C$7*(Medidas!$C$9/Oferta_2_Cualificacion_E!F22))),0)</f>
        <v>16.301369863013697</v>
      </c>
      <c r="H22" s="76">
        <v>59</v>
      </c>
      <c r="I22" s="48" t="s">
        <v>162</v>
      </c>
    </row>
    <row r="23" spans="1:9" s="40" customFormat="1" ht="60" customHeight="1">
      <c r="A23" s="57" t="s">
        <v>62</v>
      </c>
      <c r="B23" s="60"/>
      <c r="C23" s="23" t="s">
        <v>63</v>
      </c>
      <c r="D23" s="24" t="s">
        <v>45</v>
      </c>
      <c r="E23" s="24"/>
      <c r="F23" s="24" t="s">
        <v>47</v>
      </c>
      <c r="G23" s="26">
        <f>+G25</f>
        <v>0</v>
      </c>
      <c r="H23" s="23"/>
      <c r="I23" s="58"/>
    </row>
    <row r="24" spans="1:9" ht="62" customHeight="1">
      <c r="A24" s="29"/>
      <c r="B24" s="105" t="s">
        <v>64</v>
      </c>
      <c r="C24" s="107" t="s">
        <v>65</v>
      </c>
      <c r="D24" s="68" t="s">
        <v>66</v>
      </c>
      <c r="E24" s="69" t="s">
        <v>39</v>
      </c>
      <c r="F24" s="67"/>
      <c r="G24" s="70"/>
      <c r="H24" s="67"/>
      <c r="I24" s="100" t="s">
        <v>144</v>
      </c>
    </row>
    <row r="25" spans="1:9" ht="204">
      <c r="A25" s="29"/>
      <c r="B25" s="106"/>
      <c r="C25" s="108"/>
      <c r="D25" s="51" t="s">
        <v>68</v>
      </c>
      <c r="E25" s="50"/>
      <c r="F25" s="28">
        <v>65</v>
      </c>
      <c r="G25" s="27">
        <f>IF(E24="SI",(Datos!$C$10*(F25/Medidas!$D$9)),0)</f>
        <v>0</v>
      </c>
      <c r="H25" s="20"/>
      <c r="I25" s="101" t="s">
        <v>164</v>
      </c>
    </row>
    <row r="26" spans="1:9" s="40" customFormat="1" ht="60" customHeight="1">
      <c r="A26" s="57" t="s">
        <v>69</v>
      </c>
      <c r="B26" s="60"/>
      <c r="C26" s="23" t="s">
        <v>70</v>
      </c>
      <c r="D26" s="24" t="s">
        <v>45</v>
      </c>
      <c r="E26" s="24" t="s">
        <v>46</v>
      </c>
      <c r="F26" s="24" t="s">
        <v>47</v>
      </c>
      <c r="G26" s="26">
        <f>+SUM(G27:G28)</f>
        <v>0.25</v>
      </c>
      <c r="H26" s="23"/>
      <c r="I26" s="58"/>
    </row>
    <row r="27" spans="1:9" ht="70" customHeight="1">
      <c r="A27" s="29"/>
      <c r="B27" s="62" t="s">
        <v>71</v>
      </c>
      <c r="C27" s="63" t="s">
        <v>72</v>
      </c>
      <c r="D27" s="64"/>
      <c r="E27" s="46" t="s">
        <v>73</v>
      </c>
      <c r="F27" s="65" t="s">
        <v>39</v>
      </c>
      <c r="G27" s="66">
        <f>+IF(F27="SI",Datos!$C$13,0)</f>
        <v>0</v>
      </c>
      <c r="H27" s="67"/>
      <c r="I27" s="79" t="s">
        <v>145</v>
      </c>
    </row>
    <row r="28" spans="1:9" ht="135" customHeight="1">
      <c r="A28" s="30"/>
      <c r="B28" s="49" t="s">
        <v>74</v>
      </c>
      <c r="C28" s="22" t="s">
        <v>75</v>
      </c>
      <c r="D28" s="13" t="s">
        <v>76</v>
      </c>
      <c r="E28" s="22" t="s">
        <v>77</v>
      </c>
      <c r="F28" s="25" t="s">
        <v>24</v>
      </c>
      <c r="G28" s="33">
        <f>+IF(F28="SI",Datos!$C$14,0)</f>
        <v>0.25</v>
      </c>
      <c r="H28" s="20"/>
      <c r="I28" s="13" t="s">
        <v>146</v>
      </c>
    </row>
    <row r="29" spans="1:9">
      <c r="B29" s="41"/>
      <c r="E29" s="36" t="s">
        <v>78</v>
      </c>
      <c r="G29" s="42">
        <f>+G26+G23+G21+G18</f>
        <v>47.051369863013697</v>
      </c>
    </row>
    <row r="30" spans="1:9">
      <c r="B30" s="41"/>
    </row>
    <row r="31" spans="1:9">
      <c r="B31" s="41"/>
    </row>
    <row r="32" spans="1:9">
      <c r="B32" s="41"/>
      <c r="G32" s="43"/>
    </row>
    <row r="33" spans="2:2">
      <c r="B33" s="41"/>
    </row>
    <row r="34" spans="2:2">
      <c r="B34" s="41"/>
    </row>
    <row r="35" spans="2:2">
      <c r="B35" s="41"/>
    </row>
    <row r="36" spans="2:2">
      <c r="B36" s="41"/>
    </row>
    <row r="37" spans="2:2">
      <c r="B37" s="41"/>
    </row>
    <row r="38" spans="2:2">
      <c r="B38" s="41"/>
    </row>
    <row r="39" spans="2:2">
      <c r="B39" s="41"/>
    </row>
    <row r="40" spans="2:2">
      <c r="B40" s="41"/>
    </row>
    <row r="41" spans="2:2">
      <c r="B41" s="41"/>
    </row>
    <row r="42" spans="2:2">
      <c r="B42" s="41"/>
    </row>
    <row r="43" spans="2:2">
      <c r="B43" s="41"/>
    </row>
    <row r="44" spans="2:2">
      <c r="B44" s="41"/>
    </row>
    <row r="45" spans="2:2">
      <c r="B45" s="41"/>
    </row>
    <row r="46" spans="2:2">
      <c r="B46" s="41"/>
    </row>
    <row r="47" spans="2:2">
      <c r="B47" s="41"/>
    </row>
    <row r="48" spans="2:2">
      <c r="B48" s="41"/>
    </row>
    <row r="49" spans="2:2">
      <c r="B49" s="41"/>
    </row>
    <row r="50" spans="2:2">
      <c r="B50" s="41"/>
    </row>
    <row r="51" spans="2:2">
      <c r="B51" s="41"/>
    </row>
    <row r="52" spans="2:2">
      <c r="B52" s="41"/>
    </row>
    <row r="53" spans="2:2">
      <c r="B53" s="41"/>
    </row>
    <row r="54" spans="2:2">
      <c r="B54" s="41"/>
    </row>
    <row r="55" spans="2:2">
      <c r="B55" s="41"/>
    </row>
    <row r="56" spans="2:2">
      <c r="B56" s="41"/>
    </row>
    <row r="57" spans="2:2">
      <c r="B57" s="41"/>
    </row>
    <row r="58" spans="2:2">
      <c r="B58" s="41"/>
    </row>
    <row r="59" spans="2:2">
      <c r="B59" s="41"/>
    </row>
    <row r="60" spans="2:2">
      <c r="B60" s="41"/>
    </row>
    <row r="61" spans="2:2">
      <c r="B61" s="41"/>
    </row>
    <row r="62" spans="2:2">
      <c r="B62" s="41"/>
    </row>
    <row r="63" spans="2:2">
      <c r="B63" s="41"/>
    </row>
    <row r="64" spans="2:2">
      <c r="B64" s="41"/>
    </row>
    <row r="65" spans="2:2">
      <c r="B65" s="41"/>
    </row>
    <row r="66" spans="2:2">
      <c r="B66" s="41"/>
    </row>
    <row r="67" spans="2:2">
      <c r="B67" s="41"/>
    </row>
    <row r="68" spans="2:2">
      <c r="B68" s="41"/>
    </row>
    <row r="69" spans="2:2">
      <c r="B69" s="41"/>
    </row>
    <row r="70" spans="2:2">
      <c r="B70" s="41"/>
    </row>
    <row r="71" spans="2:2">
      <c r="B71" s="41"/>
    </row>
    <row r="72" spans="2:2">
      <c r="B72" s="41"/>
    </row>
    <row r="73" spans="2:2">
      <c r="B73" s="41"/>
    </row>
    <row r="74" spans="2:2">
      <c r="B74" s="41"/>
    </row>
    <row r="75" spans="2:2">
      <c r="B75" s="41"/>
    </row>
    <row r="76" spans="2:2">
      <c r="B76" s="41"/>
    </row>
    <row r="77" spans="2:2">
      <c r="B77" s="41"/>
    </row>
    <row r="78" spans="2:2">
      <c r="B78" s="41"/>
    </row>
    <row r="79" spans="2:2">
      <c r="B79" s="41"/>
    </row>
    <row r="80" spans="2:2">
      <c r="B80" s="41"/>
    </row>
    <row r="81" spans="2:2">
      <c r="B81" s="41"/>
    </row>
    <row r="82" spans="2:2">
      <c r="B82" s="41"/>
    </row>
    <row r="83" spans="2:2">
      <c r="B83" s="41"/>
    </row>
    <row r="84" spans="2:2">
      <c r="B84" s="41"/>
    </row>
    <row r="85" spans="2:2">
      <c r="B85" s="41"/>
    </row>
    <row r="86" spans="2:2">
      <c r="B86" s="41"/>
    </row>
    <row r="87" spans="2:2">
      <c r="B87" s="41"/>
    </row>
    <row r="88" spans="2:2">
      <c r="B88" s="41"/>
    </row>
    <row r="89" spans="2:2">
      <c r="B89" s="41"/>
    </row>
    <row r="90" spans="2:2">
      <c r="B90" s="41"/>
    </row>
    <row r="91" spans="2:2">
      <c r="B91" s="41"/>
    </row>
    <row r="92" spans="2:2">
      <c r="B92" s="41"/>
    </row>
    <row r="93" spans="2:2">
      <c r="B93" s="41"/>
    </row>
    <row r="94" spans="2:2">
      <c r="B94" s="41"/>
    </row>
    <row r="95" spans="2:2">
      <c r="B95" s="41"/>
    </row>
    <row r="96" spans="2:2">
      <c r="B96" s="41"/>
    </row>
    <row r="97" spans="2:2">
      <c r="B97" s="41"/>
    </row>
    <row r="98" spans="2:2">
      <c r="B98" s="41"/>
    </row>
    <row r="99" spans="2:2">
      <c r="B99" s="41"/>
    </row>
    <row r="100" spans="2:2">
      <c r="B100" s="41"/>
    </row>
  </sheetData>
  <sheetProtection algorithmName="SHA-512" hashValue="5pLXHzdEzuGJ6rzTb68lFutbGYM47xTmKgXP9pAhzAc6OEeBX4qh27JRqcoJpN19WJQzZmE8plbZ1x4rYoWXrA==" saltValue="Ebkf9gSFZnBqurRASUvy7w==" spinCount="100000" sheet="1" formatCells="0" formatColumns="0" formatRows="0" insertColumns="0" insertRows="0" insertHyperlinks="0" deleteColumns="0" deleteRows="0" sort="0" autoFilter="0" pivotTables="0"/>
  <mergeCells count="11">
    <mergeCell ref="B7:D7"/>
    <mergeCell ref="B8:D8"/>
    <mergeCell ref="B11:B12"/>
    <mergeCell ref="B24:B25"/>
    <mergeCell ref="C24:C25"/>
    <mergeCell ref="B6:D6"/>
    <mergeCell ref="B1:D1"/>
    <mergeCell ref="B2:D2"/>
    <mergeCell ref="B3:D3"/>
    <mergeCell ref="B4:D4"/>
    <mergeCell ref="B5:D5"/>
  </mergeCells>
  <conditionalFormatting sqref="H11:H16">
    <cfRule type="containsText" dxfId="12" priority="1" operator="containsText" text="ACEPTADO">
      <formula>NOT(ISERROR(SEARCH("ACEPTADO",H11)))</formula>
    </cfRule>
    <cfRule type="cellIs" dxfId="11" priority="2" operator="equal">
      <formula>"RECHAZADO"</formula>
    </cfRule>
    <cfRule type="cellIs" dxfId="10" priority="3" operator="equal">
      <formula>"""Rechazado"""</formula>
    </cfRule>
  </conditionalFormatting>
  <hyperlinks>
    <hyperlink ref="B5" r:id="rId1" xr:uid="{F13821B0-0FEF-3440-8043-3E7235E3F56A}"/>
  </hyperlinks>
  <printOptions horizontalCentered="1"/>
  <pageMargins left="0.25" right="0.25" top="0.75" bottom="0.75" header="0.3" footer="0.3"/>
  <pageSetup paperSize="5" scale="38" fitToHeight="0" orientation="landscape" r:id="rId2"/>
  <extLst>
    <ext xmlns:x14="http://schemas.microsoft.com/office/spreadsheetml/2009/9/main" uri="{CCE6A557-97BC-4b89-ADB6-D9C93CAAB3DF}">
      <x14:dataValidations xmlns:xm="http://schemas.microsoft.com/office/excel/2006/main" count="3">
        <x14:dataValidation type="list" allowBlank="1" showInputMessage="1" showErrorMessage="1" xr:uid="{AFCE1C71-49EA-B94D-AD9A-05D612B0038B}">
          <x14:formula1>
            <xm:f>Datos!$A$16:$A$17</xm:f>
          </x14:formula1>
          <xm:sqref>E24 F19:F20 F27:F28 E11:E16</xm:sqref>
        </x14:dataValidation>
        <x14:dataValidation type="list" allowBlank="1" showInputMessage="1" showErrorMessage="1" xr:uid="{10D51DE6-92B6-ED43-9816-97DEFEBB9436}">
          <x14:formula1>
            <xm:f>Datos!$F$2:$F$4</xm:f>
          </x14:formula1>
          <xm:sqref>B2 E2:I2</xm:sqref>
        </x14:dataValidation>
        <x14:dataValidation type="list" allowBlank="1" showInputMessage="1" showErrorMessage="1" xr:uid="{EEB6D918-63E6-0147-9F06-E821BA2A5B3F}">
          <x14:formula1>
            <xm:f>Datos!$A$20:$A$21</xm:f>
          </x14:formula1>
          <xm:sqref>B7 E7:I7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9131D-7EC6-0241-8E86-E471FFB23D7D}">
  <sheetPr>
    <pageSetUpPr fitToPage="1"/>
  </sheetPr>
  <dimension ref="A1:I100"/>
  <sheetViews>
    <sheetView view="pageBreakPreview" topLeftCell="E25" zoomScaleNormal="80" zoomScaleSheetLayoutView="100" workbookViewId="0">
      <selection activeCell="F13" sqref="F13"/>
    </sheetView>
  </sheetViews>
  <sheetFormatPr baseColWidth="10" defaultColWidth="11" defaultRowHeight="16"/>
  <cols>
    <col min="1" max="1" width="56.1640625" style="36" bestFit="1" customWidth="1"/>
    <col min="2" max="2" width="5.5" style="36" bestFit="1" customWidth="1"/>
    <col min="3" max="3" width="62.6640625" style="36" bestFit="1" customWidth="1"/>
    <col min="4" max="4" width="46.6640625" style="36" customWidth="1"/>
    <col min="5" max="5" width="40.33203125" style="36" customWidth="1"/>
    <col min="6" max="6" width="30.33203125" style="36" bestFit="1" customWidth="1"/>
    <col min="7" max="7" width="18" style="36" customWidth="1"/>
    <col min="8" max="8" width="15.5" style="36" customWidth="1"/>
    <col min="9" max="9" width="89.33203125" style="36" customWidth="1"/>
    <col min="10" max="16384" width="11" style="36"/>
  </cols>
  <sheetData>
    <row r="1" spans="1:9">
      <c r="A1" s="35" t="s">
        <v>0</v>
      </c>
      <c r="B1" s="112" t="s">
        <v>85</v>
      </c>
      <c r="C1" s="109"/>
      <c r="D1" s="113"/>
      <c r="E1" s="15"/>
      <c r="F1" s="16"/>
      <c r="G1" s="16"/>
      <c r="H1" s="16"/>
      <c r="I1" s="16"/>
    </row>
    <row r="2" spans="1:9">
      <c r="A2" s="35" t="s">
        <v>2</v>
      </c>
      <c r="B2" s="109">
        <v>2</v>
      </c>
      <c r="C2" s="109"/>
      <c r="D2" s="109"/>
      <c r="E2" s="15"/>
      <c r="F2" s="16"/>
      <c r="G2" s="16"/>
      <c r="H2" s="16"/>
      <c r="I2" s="16"/>
    </row>
    <row r="3" spans="1:9">
      <c r="A3" s="35" t="s">
        <v>3</v>
      </c>
      <c r="B3" s="114">
        <v>46098</v>
      </c>
      <c r="C3" s="109"/>
      <c r="D3" s="109"/>
      <c r="E3" s="15"/>
      <c r="F3" s="16"/>
      <c r="G3" s="16"/>
      <c r="H3" s="16"/>
      <c r="I3" s="16"/>
    </row>
    <row r="4" spans="1:9">
      <c r="A4" s="35" t="s">
        <v>4</v>
      </c>
      <c r="B4" s="112" t="s">
        <v>86</v>
      </c>
      <c r="C4" s="109"/>
      <c r="D4" s="109"/>
      <c r="E4" s="15"/>
      <c r="F4" s="16"/>
      <c r="G4" s="16"/>
      <c r="H4" s="16"/>
      <c r="I4" s="16"/>
    </row>
    <row r="5" spans="1:9">
      <c r="A5" s="35" t="s">
        <v>6</v>
      </c>
      <c r="B5" s="115" t="s">
        <v>87</v>
      </c>
      <c r="C5" s="115"/>
      <c r="D5" s="115"/>
      <c r="E5" s="17"/>
      <c r="F5" s="18"/>
      <c r="G5" s="18"/>
      <c r="H5" s="18"/>
      <c r="I5" s="18"/>
    </row>
    <row r="6" spans="1:9">
      <c r="A6" s="35" t="s">
        <v>8</v>
      </c>
      <c r="B6" s="112" t="s">
        <v>88</v>
      </c>
      <c r="C6" s="109"/>
      <c r="D6" s="109"/>
      <c r="E6" s="16"/>
      <c r="F6" s="16"/>
      <c r="G6" s="16"/>
      <c r="H6" s="16"/>
      <c r="I6" s="16"/>
    </row>
    <row r="7" spans="1:9">
      <c r="A7" s="35" t="s">
        <v>10</v>
      </c>
      <c r="B7" s="109" t="s">
        <v>11</v>
      </c>
      <c r="C7" s="109"/>
      <c r="D7" s="109"/>
      <c r="E7" s="16"/>
      <c r="F7" s="16"/>
      <c r="G7" s="16"/>
      <c r="H7" s="16"/>
      <c r="I7" s="16"/>
    </row>
    <row r="8" spans="1:9">
      <c r="A8" s="35" t="s">
        <v>12</v>
      </c>
      <c r="B8" s="110">
        <f>+IF($B$7="Evaluado",(G26+G23+G21+G18),0)</f>
        <v>46.539626407493991</v>
      </c>
      <c r="C8" s="110"/>
      <c r="D8" s="110"/>
      <c r="E8" s="16"/>
      <c r="F8" s="16"/>
      <c r="G8" s="16"/>
      <c r="H8" s="16"/>
      <c r="I8" s="16"/>
    </row>
    <row r="9" spans="1:9">
      <c r="A9" s="37">
        <v>2621493</v>
      </c>
    </row>
    <row r="10" spans="1:9" ht="34">
      <c r="A10" s="59" t="s">
        <v>13</v>
      </c>
      <c r="B10" s="38" t="s">
        <v>14</v>
      </c>
      <c r="C10" s="38" t="s">
        <v>15</v>
      </c>
      <c r="D10" s="38" t="s">
        <v>16</v>
      </c>
      <c r="E10" s="39" t="s">
        <v>17</v>
      </c>
      <c r="F10" s="38" t="s">
        <v>18</v>
      </c>
      <c r="G10" s="38"/>
      <c r="H10" s="38" t="s">
        <v>19</v>
      </c>
      <c r="I10" s="38" t="s">
        <v>20</v>
      </c>
    </row>
    <row r="11" spans="1:9" ht="119.25" customHeight="1">
      <c r="A11" s="57" t="s">
        <v>21</v>
      </c>
      <c r="B11" s="111">
        <v>1</v>
      </c>
      <c r="C11" s="22" t="s">
        <v>22</v>
      </c>
      <c r="D11" s="80" t="s">
        <v>23</v>
      </c>
      <c r="E11" s="25" t="s">
        <v>24</v>
      </c>
      <c r="F11" s="20"/>
      <c r="G11" s="20"/>
      <c r="H11" s="19" t="str">
        <f>+IF(E11="SI","ACEPTADO","RECHAZADO")</f>
        <v>ACEPTADO</v>
      </c>
      <c r="I11" s="48" t="s">
        <v>89</v>
      </c>
    </row>
    <row r="12" spans="1:9" ht="132.75" customHeight="1">
      <c r="A12" s="44"/>
      <c r="B12" s="111"/>
      <c r="C12" s="22" t="s">
        <v>26</v>
      </c>
      <c r="D12" s="80" t="s">
        <v>23</v>
      </c>
      <c r="E12" s="53"/>
      <c r="F12" s="54">
        <v>64513680</v>
      </c>
      <c r="G12" s="20"/>
      <c r="H12" s="19" t="str">
        <f>+IF(F12&lt;=Datos!B29,"ACEPTADO","RECHAZADO")</f>
        <v>ACEPTADO</v>
      </c>
      <c r="I12" s="48" t="s">
        <v>90</v>
      </c>
    </row>
    <row r="13" spans="1:9" ht="136.5" customHeight="1">
      <c r="A13" s="44"/>
      <c r="B13" s="49">
        <v>2</v>
      </c>
      <c r="C13" s="22" t="s">
        <v>28</v>
      </c>
      <c r="D13" s="80" t="s">
        <v>23</v>
      </c>
      <c r="E13" s="25" t="s">
        <v>24</v>
      </c>
      <c r="F13" s="47" t="s">
        <v>29</v>
      </c>
      <c r="G13" s="21">
        <v>1172976</v>
      </c>
      <c r="H13" s="19" t="str">
        <f>+IF(G13&lt;=Datos!B28,"ACEPTADO","RECHAZADO")</f>
        <v>ACEPTADO</v>
      </c>
      <c r="I13" s="48" t="s">
        <v>147</v>
      </c>
    </row>
    <row r="14" spans="1:9" ht="366.75" customHeight="1">
      <c r="A14" s="44"/>
      <c r="B14" s="49">
        <v>3</v>
      </c>
      <c r="C14" s="22" t="s">
        <v>31</v>
      </c>
      <c r="D14" s="80" t="s">
        <v>32</v>
      </c>
      <c r="E14" s="25" t="s">
        <v>24</v>
      </c>
      <c r="F14" s="20"/>
      <c r="G14" s="20"/>
      <c r="H14" s="19" t="str">
        <f>+IF(E14="SI","ACEPTADO","RECHAZADO")</f>
        <v>ACEPTADO</v>
      </c>
      <c r="I14" s="48" t="s">
        <v>148</v>
      </c>
    </row>
    <row r="15" spans="1:9" ht="133.5" customHeight="1">
      <c r="A15" s="44"/>
      <c r="B15" s="49">
        <v>4</v>
      </c>
      <c r="C15" s="22" t="s">
        <v>34</v>
      </c>
      <c r="D15" s="80" t="s">
        <v>35</v>
      </c>
      <c r="E15" s="25" t="s">
        <v>24</v>
      </c>
      <c r="F15" s="20"/>
      <c r="G15" s="20"/>
      <c r="H15" s="19" t="str">
        <f>+IF(E15="SI","ACEPTADO","RECHAZADO")</f>
        <v>ACEPTADO</v>
      </c>
      <c r="I15" s="48" t="s">
        <v>36</v>
      </c>
    </row>
    <row r="16" spans="1:9" ht="60" customHeight="1">
      <c r="A16" s="45"/>
      <c r="B16" s="49">
        <v>5</v>
      </c>
      <c r="C16" s="22" t="s">
        <v>37</v>
      </c>
      <c r="D16" s="80" t="s">
        <v>38</v>
      </c>
      <c r="E16" s="25" t="s">
        <v>39</v>
      </c>
      <c r="F16" s="20"/>
      <c r="G16" s="20"/>
      <c r="H16" s="19" t="str">
        <f>+IF(E16="NO","ACEPTADO","RECHAZADO")</f>
        <v>ACEPTADO</v>
      </c>
      <c r="I16" s="48"/>
    </row>
    <row r="17" spans="1:9" ht="60" customHeight="1">
      <c r="A17" s="61" t="s">
        <v>40</v>
      </c>
      <c r="B17" s="38" t="s">
        <v>14</v>
      </c>
      <c r="C17" s="38" t="s">
        <v>41</v>
      </c>
      <c r="D17" s="38"/>
      <c r="E17" s="38"/>
      <c r="F17" s="38"/>
      <c r="G17" s="38" t="s">
        <v>42</v>
      </c>
      <c r="H17" s="38"/>
      <c r="I17" s="77"/>
    </row>
    <row r="18" spans="1:9" s="40" customFormat="1" ht="60" customHeight="1">
      <c r="A18" s="57" t="s">
        <v>43</v>
      </c>
      <c r="B18" s="60"/>
      <c r="C18" s="85" t="s">
        <v>44</v>
      </c>
      <c r="D18" s="24" t="s">
        <v>45</v>
      </c>
      <c r="E18" s="24" t="s">
        <v>46</v>
      </c>
      <c r="F18" s="24" t="s">
        <v>47</v>
      </c>
      <c r="G18" s="26">
        <f>+MAX(G19:G20)</f>
        <v>30.5</v>
      </c>
      <c r="H18" s="23"/>
      <c r="I18" s="58"/>
    </row>
    <row r="19" spans="1:9" ht="169.5" customHeight="1">
      <c r="A19" s="29"/>
      <c r="B19" s="62" t="s">
        <v>48</v>
      </c>
      <c r="C19" s="46" t="s">
        <v>49</v>
      </c>
      <c r="D19" s="72" t="s">
        <v>50</v>
      </c>
      <c r="E19" s="46" t="s">
        <v>51</v>
      </c>
      <c r="F19" s="65" t="s">
        <v>39</v>
      </c>
      <c r="G19" s="75">
        <f>+IF(F19="SI",Datos!C3,0)</f>
        <v>0</v>
      </c>
      <c r="H19" s="67"/>
      <c r="I19" s="72"/>
    </row>
    <row r="20" spans="1:9" ht="224.25" customHeight="1">
      <c r="A20" s="29"/>
      <c r="B20" s="49" t="s">
        <v>52</v>
      </c>
      <c r="C20" s="22" t="s">
        <v>53</v>
      </c>
      <c r="D20" s="13" t="s">
        <v>50</v>
      </c>
      <c r="E20" s="22" t="s">
        <v>54</v>
      </c>
      <c r="F20" s="25" t="s">
        <v>24</v>
      </c>
      <c r="G20" s="27">
        <f>+IF(F20="SI",Datos!C4,0)</f>
        <v>30.5</v>
      </c>
      <c r="H20" s="20"/>
      <c r="I20" s="13" t="s">
        <v>149</v>
      </c>
    </row>
    <row r="21" spans="1:9" s="40" customFormat="1" ht="60" customHeight="1">
      <c r="A21" s="57" t="s">
        <v>56</v>
      </c>
      <c r="B21" s="60"/>
      <c r="C21" s="23" t="s">
        <v>57</v>
      </c>
      <c r="D21" s="24" t="s">
        <v>45</v>
      </c>
      <c r="E21" s="24"/>
      <c r="F21" s="24" t="s">
        <v>47</v>
      </c>
      <c r="G21" s="26">
        <f>+SUM(G22:G22)</f>
        <v>15.217702663993125</v>
      </c>
      <c r="H21" s="56" t="s">
        <v>58</v>
      </c>
      <c r="I21" s="58"/>
    </row>
    <row r="22" spans="1:9" ht="176.25" customHeight="1">
      <c r="A22" s="29"/>
      <c r="B22" s="62" t="s">
        <v>59</v>
      </c>
      <c r="C22" s="63" t="s">
        <v>60</v>
      </c>
      <c r="D22" s="72" t="s">
        <v>23</v>
      </c>
      <c r="E22" s="73" t="s">
        <v>29</v>
      </c>
      <c r="F22" s="74">
        <f>+G13</f>
        <v>1172976</v>
      </c>
      <c r="G22" s="75">
        <f>IF($H$13="ACEPTADO",((Datos!$C$7*(Medidas!$C$9/Oferta_3_Fun_CCB!F22))),0)</f>
        <v>15.217702663993125</v>
      </c>
      <c r="H22" s="76">
        <v>55</v>
      </c>
      <c r="I22" s="72" t="s">
        <v>165</v>
      </c>
    </row>
    <row r="23" spans="1:9" s="40" customFormat="1" ht="60" customHeight="1">
      <c r="A23" s="57" t="s">
        <v>62</v>
      </c>
      <c r="B23" s="60"/>
      <c r="C23" s="23" t="s">
        <v>63</v>
      </c>
      <c r="D23" s="24" t="s">
        <v>45</v>
      </c>
      <c r="E23" s="24"/>
      <c r="F23" s="24" t="s">
        <v>47</v>
      </c>
      <c r="G23" s="26">
        <f>+G25</f>
        <v>0.57192374350086661</v>
      </c>
      <c r="H23" s="23"/>
      <c r="I23" s="58"/>
    </row>
    <row r="24" spans="1:9" ht="93.75" customHeight="1">
      <c r="A24" s="29"/>
      <c r="B24" s="105" t="s">
        <v>64</v>
      </c>
      <c r="C24" s="107" t="s">
        <v>65</v>
      </c>
      <c r="D24" s="68" t="s">
        <v>66</v>
      </c>
      <c r="E24" s="69" t="s">
        <v>24</v>
      </c>
      <c r="F24" s="67"/>
      <c r="G24" s="70"/>
      <c r="H24" s="67"/>
      <c r="I24" s="71" t="s">
        <v>150</v>
      </c>
    </row>
    <row r="25" spans="1:9" ht="384" customHeight="1">
      <c r="A25" s="29"/>
      <c r="B25" s="106"/>
      <c r="C25" s="108"/>
      <c r="D25" s="51" t="s">
        <v>68</v>
      </c>
      <c r="E25" s="50"/>
      <c r="F25" s="28">
        <v>55</v>
      </c>
      <c r="G25" s="27">
        <f>IF(E24="SI",(Datos!$C$10*(Oferta_3_Fun_CCB!F25/Medidas!$D$9)),0)</f>
        <v>0.57192374350086661</v>
      </c>
      <c r="H25" s="20"/>
      <c r="I25" s="34" t="s">
        <v>166</v>
      </c>
    </row>
    <row r="26" spans="1:9" s="40" customFormat="1" ht="60" customHeight="1">
      <c r="A26" s="57" t="s">
        <v>69</v>
      </c>
      <c r="B26" s="60"/>
      <c r="C26" s="23" t="s">
        <v>70</v>
      </c>
      <c r="D26" s="24" t="s">
        <v>45</v>
      </c>
      <c r="E26" s="24" t="s">
        <v>46</v>
      </c>
      <c r="F26" s="24" t="s">
        <v>47</v>
      </c>
      <c r="G26" s="26">
        <f>+SUM(G27:G28)</f>
        <v>0.25</v>
      </c>
      <c r="H26" s="23"/>
      <c r="I26" s="58"/>
    </row>
    <row r="27" spans="1:9" ht="98" customHeight="1">
      <c r="A27" s="29"/>
      <c r="B27" s="62" t="s">
        <v>71</v>
      </c>
      <c r="C27" s="63" t="s">
        <v>72</v>
      </c>
      <c r="D27" s="64"/>
      <c r="E27" s="46" t="s">
        <v>73</v>
      </c>
      <c r="F27" s="65" t="s">
        <v>39</v>
      </c>
      <c r="G27" s="66">
        <f>+IF(F27="SI",Datos!$C$13,0)</f>
        <v>0</v>
      </c>
      <c r="H27" s="67"/>
      <c r="I27" s="79" t="s">
        <v>145</v>
      </c>
    </row>
    <row r="28" spans="1:9" ht="177.75" customHeight="1">
      <c r="A28" s="30"/>
      <c r="B28" s="49" t="s">
        <v>74</v>
      </c>
      <c r="C28" s="22" t="s">
        <v>75</v>
      </c>
      <c r="D28" s="13" t="s">
        <v>76</v>
      </c>
      <c r="E28" s="22" t="s">
        <v>77</v>
      </c>
      <c r="F28" s="25" t="s">
        <v>24</v>
      </c>
      <c r="G28" s="33">
        <f>+IF(F28="SI",Datos!$C$14,0)</f>
        <v>0.25</v>
      </c>
      <c r="H28" s="20"/>
      <c r="I28" s="13" t="s">
        <v>151</v>
      </c>
    </row>
    <row r="29" spans="1:9">
      <c r="B29" s="41"/>
      <c r="E29" s="36" t="s">
        <v>78</v>
      </c>
      <c r="G29" s="42">
        <f>+G26+G23+G21+G18</f>
        <v>46.539626407493991</v>
      </c>
    </row>
    <row r="30" spans="1:9">
      <c r="B30" s="41"/>
    </row>
    <row r="31" spans="1:9">
      <c r="B31" s="41"/>
    </row>
    <row r="32" spans="1:9">
      <c r="B32" s="41"/>
      <c r="G32" s="43"/>
    </row>
    <row r="33" spans="2:2">
      <c r="B33" s="41"/>
    </row>
    <row r="34" spans="2:2">
      <c r="B34" s="41"/>
    </row>
    <row r="35" spans="2:2">
      <c r="B35" s="41"/>
    </row>
    <row r="36" spans="2:2">
      <c r="B36" s="41"/>
    </row>
    <row r="37" spans="2:2">
      <c r="B37" s="41"/>
    </row>
    <row r="38" spans="2:2">
      <c r="B38" s="41"/>
    </row>
    <row r="39" spans="2:2">
      <c r="B39" s="41"/>
    </row>
    <row r="40" spans="2:2">
      <c r="B40" s="41"/>
    </row>
    <row r="41" spans="2:2">
      <c r="B41" s="41"/>
    </row>
    <row r="42" spans="2:2">
      <c r="B42" s="41"/>
    </row>
    <row r="43" spans="2:2">
      <c r="B43" s="41"/>
    </row>
    <row r="44" spans="2:2">
      <c r="B44" s="41"/>
    </row>
    <row r="45" spans="2:2">
      <c r="B45" s="41"/>
    </row>
    <row r="46" spans="2:2">
      <c r="B46" s="41"/>
    </row>
    <row r="47" spans="2:2">
      <c r="B47" s="41"/>
    </row>
    <row r="48" spans="2:2">
      <c r="B48" s="41"/>
    </row>
    <row r="49" spans="2:2">
      <c r="B49" s="41"/>
    </row>
    <row r="50" spans="2:2">
      <c r="B50" s="41"/>
    </row>
    <row r="51" spans="2:2">
      <c r="B51" s="41"/>
    </row>
    <row r="52" spans="2:2">
      <c r="B52" s="41"/>
    </row>
    <row r="53" spans="2:2">
      <c r="B53" s="41"/>
    </row>
    <row r="54" spans="2:2">
      <c r="B54" s="41"/>
    </row>
    <row r="55" spans="2:2">
      <c r="B55" s="41"/>
    </row>
    <row r="56" spans="2:2">
      <c r="B56" s="41"/>
    </row>
    <row r="57" spans="2:2">
      <c r="B57" s="41"/>
    </row>
    <row r="58" spans="2:2">
      <c r="B58" s="41"/>
    </row>
    <row r="59" spans="2:2">
      <c r="B59" s="41"/>
    </row>
    <row r="60" spans="2:2">
      <c r="B60" s="41"/>
    </row>
    <row r="61" spans="2:2">
      <c r="B61" s="41"/>
    </row>
    <row r="62" spans="2:2">
      <c r="B62" s="41"/>
    </row>
    <row r="63" spans="2:2">
      <c r="B63" s="41"/>
    </row>
    <row r="64" spans="2:2">
      <c r="B64" s="41"/>
    </row>
    <row r="65" spans="2:2">
      <c r="B65" s="41"/>
    </row>
    <row r="66" spans="2:2">
      <c r="B66" s="41"/>
    </row>
    <row r="67" spans="2:2">
      <c r="B67" s="41"/>
    </row>
    <row r="68" spans="2:2">
      <c r="B68" s="41"/>
    </row>
    <row r="69" spans="2:2">
      <c r="B69" s="41"/>
    </row>
    <row r="70" spans="2:2">
      <c r="B70" s="41"/>
    </row>
    <row r="71" spans="2:2">
      <c r="B71" s="41"/>
    </row>
    <row r="72" spans="2:2">
      <c r="B72" s="41"/>
    </row>
    <row r="73" spans="2:2">
      <c r="B73" s="41"/>
    </row>
    <row r="74" spans="2:2">
      <c r="B74" s="41"/>
    </row>
    <row r="75" spans="2:2">
      <c r="B75" s="41"/>
    </row>
    <row r="76" spans="2:2">
      <c r="B76" s="41"/>
    </row>
    <row r="77" spans="2:2">
      <c r="B77" s="41"/>
    </row>
    <row r="78" spans="2:2">
      <c r="B78" s="41"/>
    </row>
    <row r="79" spans="2:2">
      <c r="B79" s="41"/>
    </row>
    <row r="80" spans="2:2">
      <c r="B80" s="41"/>
    </row>
    <row r="81" spans="2:2">
      <c r="B81" s="41"/>
    </row>
    <row r="82" spans="2:2">
      <c r="B82" s="41"/>
    </row>
    <row r="83" spans="2:2">
      <c r="B83" s="41"/>
    </row>
    <row r="84" spans="2:2">
      <c r="B84" s="41"/>
    </row>
    <row r="85" spans="2:2">
      <c r="B85" s="41"/>
    </row>
    <row r="86" spans="2:2">
      <c r="B86" s="41"/>
    </row>
    <row r="87" spans="2:2">
      <c r="B87" s="41"/>
    </row>
    <row r="88" spans="2:2">
      <c r="B88" s="41"/>
    </row>
    <row r="89" spans="2:2">
      <c r="B89" s="41"/>
    </row>
    <row r="90" spans="2:2">
      <c r="B90" s="41"/>
    </row>
    <row r="91" spans="2:2">
      <c r="B91" s="41"/>
    </row>
    <row r="92" spans="2:2">
      <c r="B92" s="41"/>
    </row>
    <row r="93" spans="2:2">
      <c r="B93" s="41"/>
    </row>
    <row r="94" spans="2:2">
      <c r="B94" s="41"/>
    </row>
    <row r="95" spans="2:2">
      <c r="B95" s="41"/>
    </row>
    <row r="96" spans="2:2">
      <c r="B96" s="41"/>
    </row>
    <row r="97" spans="2:2">
      <c r="B97" s="41"/>
    </row>
    <row r="98" spans="2:2">
      <c r="B98" s="41"/>
    </row>
    <row r="99" spans="2:2">
      <c r="B99" s="41"/>
    </row>
    <row r="100" spans="2:2">
      <c r="B100" s="41"/>
    </row>
  </sheetData>
  <sheetProtection algorithmName="SHA-512" hashValue="CcuEMU6loX47DZgRBffNr0NJKBESc4mRo194sXnWXZTeReJxw4ELV+oIIZXhf/o7w5KmUD9rya+PZEUOsXtRZQ==" saltValue="DytzPlQ1R1G/6fU6ZlmHwA==" spinCount="100000" sheet="1" formatCells="0" formatColumns="0" formatRows="0" insertColumns="0" insertRows="0" insertHyperlinks="0" deleteColumns="0" deleteRows="0" sort="0" autoFilter="0" pivotTables="0"/>
  <mergeCells count="11">
    <mergeCell ref="B7:D7"/>
    <mergeCell ref="B8:D8"/>
    <mergeCell ref="B11:B12"/>
    <mergeCell ref="B24:B25"/>
    <mergeCell ref="C24:C25"/>
    <mergeCell ref="B6:D6"/>
    <mergeCell ref="B1:D1"/>
    <mergeCell ref="B2:D2"/>
    <mergeCell ref="B3:D3"/>
    <mergeCell ref="B4:D4"/>
    <mergeCell ref="B5:D5"/>
  </mergeCells>
  <conditionalFormatting sqref="H11:H16">
    <cfRule type="containsText" dxfId="9" priority="1" operator="containsText" text="ACEPTADO">
      <formula>NOT(ISERROR(SEARCH("ACEPTADO",H11)))</formula>
    </cfRule>
    <cfRule type="cellIs" dxfId="8" priority="2" operator="equal">
      <formula>"RECHAZADO"</formula>
    </cfRule>
    <cfRule type="cellIs" dxfId="7" priority="3" operator="equal">
      <formula>"""Rechazado"""</formula>
    </cfRule>
  </conditionalFormatting>
  <printOptions horizontalCentered="1"/>
  <pageMargins left="0.25" right="0.25" top="0.75" bottom="0.75" header="0.3" footer="0.3"/>
  <pageSetup paperSize="5" scale="43"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EEC41248-83A3-AA49-AD3A-34C45884998D}">
          <x14:formula1>
            <xm:f>Datos!$A$20:$A$21</xm:f>
          </x14:formula1>
          <xm:sqref>B7 E7:I7</xm:sqref>
        </x14:dataValidation>
        <x14:dataValidation type="list" allowBlank="1" showInputMessage="1" showErrorMessage="1" xr:uid="{3D47ADB1-EF74-C246-A104-279C839702A9}">
          <x14:formula1>
            <xm:f>Datos!$F$2:$F$4</xm:f>
          </x14:formula1>
          <xm:sqref>B2 E2:I2</xm:sqref>
        </x14:dataValidation>
        <x14:dataValidation type="list" allowBlank="1" showInputMessage="1" showErrorMessage="1" xr:uid="{6A2718E4-C60A-3240-AE66-B7F6D5464840}">
          <x14:formula1>
            <xm:f>Datos!$A$16:$A$17</xm:f>
          </x14:formula1>
          <xm:sqref>E24 F19:F20 F27:F28 E11:E16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9D391-80EE-EC4B-88A0-E6733EBEA3E5}">
  <sheetPr>
    <pageSetUpPr fitToPage="1"/>
  </sheetPr>
  <dimension ref="A1:I100"/>
  <sheetViews>
    <sheetView view="pageBreakPreview" topLeftCell="A10" zoomScaleNormal="80" zoomScaleSheetLayoutView="100" workbookViewId="0">
      <selection activeCell="C28" sqref="C28"/>
    </sheetView>
  </sheetViews>
  <sheetFormatPr baseColWidth="10" defaultColWidth="11" defaultRowHeight="16"/>
  <cols>
    <col min="1" max="1" width="56.1640625" style="36" bestFit="1" customWidth="1"/>
    <col min="2" max="2" width="5.5" style="36" bestFit="1" customWidth="1"/>
    <col min="3" max="3" width="62.6640625" style="36" bestFit="1" customWidth="1"/>
    <col min="4" max="4" width="46.6640625" style="36" customWidth="1"/>
    <col min="5" max="5" width="40.33203125" style="36" customWidth="1"/>
    <col min="6" max="6" width="30.33203125" style="36" bestFit="1" customWidth="1"/>
    <col min="7" max="7" width="18" style="36" customWidth="1"/>
    <col min="8" max="8" width="15.5" style="36" customWidth="1"/>
    <col min="9" max="9" width="89.33203125" style="36" customWidth="1"/>
    <col min="10" max="16384" width="11" style="36"/>
  </cols>
  <sheetData>
    <row r="1" spans="1:9">
      <c r="A1" s="35" t="s">
        <v>0</v>
      </c>
      <c r="B1" s="112" t="s">
        <v>91</v>
      </c>
      <c r="C1" s="109"/>
      <c r="D1" s="113"/>
      <c r="E1" s="15"/>
      <c r="F1" s="16"/>
      <c r="G1" s="16"/>
      <c r="H1" s="16"/>
      <c r="I1" s="16"/>
    </row>
    <row r="2" spans="1:9">
      <c r="A2" s="35" t="s">
        <v>2</v>
      </c>
      <c r="B2" s="109">
        <v>2</v>
      </c>
      <c r="C2" s="109"/>
      <c r="D2" s="109"/>
      <c r="E2" s="15"/>
      <c r="F2" s="16"/>
      <c r="G2" s="16"/>
      <c r="H2" s="16"/>
      <c r="I2" s="16"/>
    </row>
    <row r="3" spans="1:9">
      <c r="A3" s="35" t="s">
        <v>3</v>
      </c>
      <c r="B3" s="114">
        <v>46098</v>
      </c>
      <c r="C3" s="109"/>
      <c r="D3" s="109"/>
      <c r="E3" s="15"/>
      <c r="F3" s="16"/>
      <c r="G3" s="16"/>
      <c r="H3" s="16"/>
      <c r="I3" s="16"/>
    </row>
    <row r="4" spans="1:9">
      <c r="A4" s="35" t="s">
        <v>4</v>
      </c>
      <c r="B4" s="112" t="s">
        <v>92</v>
      </c>
      <c r="C4" s="109"/>
      <c r="D4" s="109"/>
      <c r="E4" s="15"/>
      <c r="F4" s="16"/>
      <c r="G4" s="16"/>
      <c r="H4" s="16"/>
      <c r="I4" s="16"/>
    </row>
    <row r="5" spans="1:9">
      <c r="A5" s="35" t="s">
        <v>6</v>
      </c>
      <c r="B5" s="115" t="s">
        <v>93</v>
      </c>
      <c r="C5" s="115"/>
      <c r="D5" s="115"/>
      <c r="E5" s="17"/>
      <c r="F5" s="18"/>
      <c r="G5" s="18"/>
      <c r="H5" s="18"/>
      <c r="I5" s="18"/>
    </row>
    <row r="6" spans="1:9">
      <c r="A6" s="35" t="s">
        <v>8</v>
      </c>
      <c r="B6" s="109">
        <v>3176399468</v>
      </c>
      <c r="C6" s="109"/>
      <c r="D6" s="109"/>
      <c r="E6" s="16"/>
      <c r="F6" s="16"/>
      <c r="G6" s="16"/>
      <c r="H6" s="16"/>
      <c r="I6" s="16"/>
    </row>
    <row r="7" spans="1:9">
      <c r="A7" s="35" t="s">
        <v>10</v>
      </c>
      <c r="B7" s="109" t="s">
        <v>11</v>
      </c>
      <c r="C7" s="109"/>
      <c r="D7" s="109"/>
      <c r="E7" s="16"/>
      <c r="F7" s="16"/>
      <c r="G7" s="16"/>
      <c r="H7" s="16"/>
      <c r="I7" s="16"/>
    </row>
    <row r="8" spans="1:9">
      <c r="A8" s="35" t="s">
        <v>12</v>
      </c>
      <c r="B8" s="110">
        <f>+IF($B$7="Evaluado",(G26+G23+G21+G18),0)</f>
        <v>49.027310478903459</v>
      </c>
      <c r="C8" s="110"/>
      <c r="D8" s="110"/>
      <c r="E8" s="16"/>
      <c r="F8" s="16"/>
      <c r="G8" s="16"/>
      <c r="H8" s="16"/>
      <c r="I8" s="16"/>
    </row>
    <row r="9" spans="1:9">
      <c r="A9" s="37">
        <v>2621493</v>
      </c>
    </row>
    <row r="10" spans="1:9" ht="34">
      <c r="A10" s="59" t="s">
        <v>13</v>
      </c>
      <c r="B10" s="38" t="s">
        <v>14</v>
      </c>
      <c r="C10" s="38" t="s">
        <v>15</v>
      </c>
      <c r="D10" s="38" t="s">
        <v>16</v>
      </c>
      <c r="E10" s="39" t="s">
        <v>17</v>
      </c>
      <c r="F10" s="38" t="s">
        <v>18</v>
      </c>
      <c r="G10" s="38"/>
      <c r="H10" s="38" t="s">
        <v>19</v>
      </c>
      <c r="I10" s="38" t="s">
        <v>20</v>
      </c>
    </row>
    <row r="11" spans="1:9" ht="107.25" customHeight="1">
      <c r="A11" s="57" t="s">
        <v>21</v>
      </c>
      <c r="B11" s="111">
        <v>1</v>
      </c>
      <c r="C11" s="22" t="s">
        <v>22</v>
      </c>
      <c r="D11" s="80" t="s">
        <v>23</v>
      </c>
      <c r="E11" s="25" t="s">
        <v>24</v>
      </c>
      <c r="F11" s="20"/>
      <c r="G11" s="20"/>
      <c r="H11" s="19" t="str">
        <f>+IF(E11="SI","ACEPTADO","RECHAZADO")</f>
        <v>ACEPTADO</v>
      </c>
      <c r="I11" s="48" t="s">
        <v>25</v>
      </c>
    </row>
    <row r="12" spans="1:9" ht="120" customHeight="1">
      <c r="A12" s="44"/>
      <c r="B12" s="111"/>
      <c r="C12" s="22" t="s">
        <v>26</v>
      </c>
      <c r="D12" s="80" t="s">
        <v>23</v>
      </c>
      <c r="E12" s="53"/>
      <c r="F12" s="54">
        <v>64531752.880000003</v>
      </c>
      <c r="G12" s="20"/>
      <c r="H12" s="19" t="str">
        <f>+IF(F12&lt;=Datos!B29,"ACEPTADO","RECHAZADO")</f>
        <v>ACEPTADO</v>
      </c>
      <c r="I12" s="48" t="s">
        <v>152</v>
      </c>
    </row>
    <row r="13" spans="1:9" ht="115.5" customHeight="1">
      <c r="A13" s="44"/>
      <c r="B13" s="49">
        <v>2</v>
      </c>
      <c r="C13" s="22" t="s">
        <v>28</v>
      </c>
      <c r="D13" s="80" t="s">
        <v>23</v>
      </c>
      <c r="E13" s="25" t="s">
        <v>24</v>
      </c>
      <c r="F13" s="47" t="s">
        <v>29</v>
      </c>
      <c r="G13" s="21">
        <v>1152352.73</v>
      </c>
      <c r="H13" s="19" t="str">
        <f>+IF(G13&lt;=Datos!B28,"ACEPTADO","RECHAZADO")</f>
        <v>ACEPTADO</v>
      </c>
      <c r="I13" s="48" t="s">
        <v>153</v>
      </c>
    </row>
    <row r="14" spans="1:9" ht="356">
      <c r="A14" s="44"/>
      <c r="B14" s="49">
        <v>3</v>
      </c>
      <c r="C14" s="22" t="s">
        <v>31</v>
      </c>
      <c r="D14" s="80" t="s">
        <v>32</v>
      </c>
      <c r="E14" s="25" t="s">
        <v>24</v>
      </c>
      <c r="F14" s="20"/>
      <c r="G14" s="20"/>
      <c r="H14" s="19" t="str">
        <f>+IF(E14="SI","ACEPTADO","RECHAZADO")</f>
        <v>ACEPTADO</v>
      </c>
      <c r="I14" s="48" t="s">
        <v>154</v>
      </c>
    </row>
    <row r="15" spans="1:9" ht="114" customHeight="1">
      <c r="A15" s="44"/>
      <c r="B15" s="49">
        <v>4</v>
      </c>
      <c r="C15" s="22" t="s">
        <v>34</v>
      </c>
      <c r="D15" s="80" t="s">
        <v>35</v>
      </c>
      <c r="E15" s="25" t="s">
        <v>24</v>
      </c>
      <c r="F15" s="20"/>
      <c r="G15" s="20"/>
      <c r="H15" s="19" t="str">
        <f>+IF(E15="SI","ACEPTADO","RECHAZADO")</f>
        <v>ACEPTADO</v>
      </c>
      <c r="I15" s="48" t="s">
        <v>155</v>
      </c>
    </row>
    <row r="16" spans="1:9" ht="60" customHeight="1">
      <c r="A16" s="45"/>
      <c r="B16" s="49">
        <v>5</v>
      </c>
      <c r="C16" s="22" t="s">
        <v>37</v>
      </c>
      <c r="D16" s="80" t="s">
        <v>38</v>
      </c>
      <c r="E16" s="25" t="s">
        <v>39</v>
      </c>
      <c r="F16" s="20"/>
      <c r="G16" s="20"/>
      <c r="H16" s="19" t="str">
        <f>+IF(E16="NO","ACEPTADO","RECHAZADO")</f>
        <v>ACEPTADO</v>
      </c>
      <c r="I16" s="48"/>
    </row>
    <row r="17" spans="1:9" ht="60" customHeight="1">
      <c r="A17" s="61" t="s">
        <v>40</v>
      </c>
      <c r="B17" s="38" t="s">
        <v>14</v>
      </c>
      <c r="C17" s="38" t="s">
        <v>41</v>
      </c>
      <c r="D17" s="38"/>
      <c r="E17" s="38"/>
      <c r="F17" s="38"/>
      <c r="G17" s="38" t="s">
        <v>42</v>
      </c>
      <c r="H17" s="38"/>
      <c r="I17" s="77"/>
    </row>
    <row r="18" spans="1:9" s="40" customFormat="1" ht="60" customHeight="1">
      <c r="A18" s="57" t="s">
        <v>43</v>
      </c>
      <c r="B18" s="60"/>
      <c r="C18" s="85" t="s">
        <v>44</v>
      </c>
      <c r="D18" s="24" t="s">
        <v>45</v>
      </c>
      <c r="E18" s="24" t="s">
        <v>46</v>
      </c>
      <c r="F18" s="24" t="s">
        <v>47</v>
      </c>
      <c r="G18" s="26">
        <f>+MAX(G19:G20)</f>
        <v>30.5</v>
      </c>
      <c r="H18" s="23"/>
      <c r="I18" s="58"/>
    </row>
    <row r="19" spans="1:9" ht="135" customHeight="1">
      <c r="A19" s="29"/>
      <c r="B19" s="62" t="s">
        <v>48</v>
      </c>
      <c r="C19" s="46" t="s">
        <v>49</v>
      </c>
      <c r="D19" s="72" t="s">
        <v>50</v>
      </c>
      <c r="E19" s="46" t="s">
        <v>51</v>
      </c>
      <c r="F19" s="65" t="s">
        <v>39</v>
      </c>
      <c r="G19" s="75">
        <f>+IF(F19="SI",Datos!C3,0)</f>
        <v>0</v>
      </c>
      <c r="H19" s="67"/>
      <c r="I19" s="72"/>
    </row>
    <row r="20" spans="1:9" ht="188" customHeight="1">
      <c r="A20" s="29"/>
      <c r="B20" s="49" t="s">
        <v>52</v>
      </c>
      <c r="C20" s="22" t="s">
        <v>53</v>
      </c>
      <c r="D20" s="72" t="s">
        <v>50</v>
      </c>
      <c r="E20" s="22" t="s">
        <v>54</v>
      </c>
      <c r="F20" s="25" t="s">
        <v>24</v>
      </c>
      <c r="G20" s="27">
        <f>+IF(F20="SI",Datos!C4,0)</f>
        <v>30.5</v>
      </c>
      <c r="H20" s="20"/>
      <c r="I20" s="13" t="s">
        <v>156</v>
      </c>
    </row>
    <row r="21" spans="1:9" s="40" customFormat="1" ht="60" customHeight="1">
      <c r="A21" s="57" t="s">
        <v>56</v>
      </c>
      <c r="B21" s="60"/>
      <c r="C21" s="23" t="s">
        <v>57</v>
      </c>
      <c r="D21" s="24" t="s">
        <v>45</v>
      </c>
      <c r="E21" s="24"/>
      <c r="F21" s="24" t="s">
        <v>47</v>
      </c>
      <c r="G21" s="26">
        <f>+SUM(G22:G22)</f>
        <v>15.490048780463253</v>
      </c>
      <c r="H21" s="56" t="s">
        <v>58</v>
      </c>
      <c r="I21" s="58"/>
    </row>
    <row r="22" spans="1:9" ht="140.25" customHeight="1">
      <c r="A22" s="29"/>
      <c r="B22" s="62" t="s">
        <v>59</v>
      </c>
      <c r="C22" s="63" t="s">
        <v>60</v>
      </c>
      <c r="D22" s="72" t="s">
        <v>23</v>
      </c>
      <c r="E22" s="73" t="s">
        <v>29</v>
      </c>
      <c r="F22" s="74">
        <f>+G13</f>
        <v>1152352.73</v>
      </c>
      <c r="G22" s="75">
        <f>IF($H$13="ACEPTADO",((Datos!$C$7*(Medidas!$C$9/Oferta_4_Gestion_Total!F22))),0)</f>
        <v>15.490048780463253</v>
      </c>
      <c r="H22" s="76">
        <v>56</v>
      </c>
      <c r="I22" s="72" t="s">
        <v>157</v>
      </c>
    </row>
    <row r="23" spans="1:9" s="40" customFormat="1" ht="60" customHeight="1">
      <c r="A23" s="57" t="s">
        <v>62</v>
      </c>
      <c r="B23" s="60"/>
      <c r="C23" s="23" t="s">
        <v>63</v>
      </c>
      <c r="D23" s="24" t="s">
        <v>45</v>
      </c>
      <c r="E23" s="24"/>
      <c r="F23" s="24" t="s">
        <v>47</v>
      </c>
      <c r="G23" s="26">
        <f>+G25</f>
        <v>2.5372616984402079</v>
      </c>
      <c r="H23" s="23"/>
      <c r="I23" s="58"/>
    </row>
    <row r="24" spans="1:9" ht="76.5" customHeight="1">
      <c r="A24" s="29"/>
      <c r="B24" s="105" t="s">
        <v>64</v>
      </c>
      <c r="C24" s="107" t="s">
        <v>65</v>
      </c>
      <c r="D24" s="68" t="s">
        <v>66</v>
      </c>
      <c r="E24" s="69" t="s">
        <v>24</v>
      </c>
      <c r="F24" s="67"/>
      <c r="G24" s="70"/>
      <c r="H24" s="67"/>
      <c r="I24" s="71" t="s">
        <v>158</v>
      </c>
    </row>
    <row r="25" spans="1:9" ht="353" customHeight="1">
      <c r="A25" s="29"/>
      <c r="B25" s="106"/>
      <c r="C25" s="108"/>
      <c r="D25" s="51" t="s">
        <v>68</v>
      </c>
      <c r="E25" s="50"/>
      <c r="F25" s="28">
        <v>244</v>
      </c>
      <c r="G25" s="27">
        <f>IF(E24="SI",(Datos!$C$10*(Oferta_4_Gestion_Total!F25/Medidas!$D$9)),0)</f>
        <v>2.5372616984402079</v>
      </c>
      <c r="H25" s="20"/>
      <c r="I25" s="101" t="s">
        <v>159</v>
      </c>
    </row>
    <row r="26" spans="1:9" s="40" customFormat="1" ht="60" customHeight="1">
      <c r="A26" s="57" t="s">
        <v>69</v>
      </c>
      <c r="B26" s="60"/>
      <c r="C26" s="23" t="s">
        <v>70</v>
      </c>
      <c r="D26" s="24" t="s">
        <v>45</v>
      </c>
      <c r="E26" s="24" t="s">
        <v>46</v>
      </c>
      <c r="F26" s="24" t="s">
        <v>47</v>
      </c>
      <c r="G26" s="26">
        <f>+SUM(G27:G28)</f>
        <v>0.5</v>
      </c>
      <c r="H26" s="23"/>
      <c r="I26" s="58"/>
    </row>
    <row r="27" spans="1:9" ht="119" customHeight="1">
      <c r="A27" s="29"/>
      <c r="B27" s="62" t="s">
        <v>71</v>
      </c>
      <c r="C27" s="63" t="s">
        <v>72</v>
      </c>
      <c r="D27" s="64"/>
      <c r="E27" s="46" t="s">
        <v>73</v>
      </c>
      <c r="F27" s="65" t="s">
        <v>24</v>
      </c>
      <c r="G27" s="66">
        <f>+IF(F27="SI",Datos!$C$13,0)</f>
        <v>0.25</v>
      </c>
      <c r="H27" s="67"/>
      <c r="I27" s="78" t="s">
        <v>160</v>
      </c>
    </row>
    <row r="28" spans="1:9" ht="144.75" customHeight="1">
      <c r="A28" s="30"/>
      <c r="B28" s="49" t="s">
        <v>74</v>
      </c>
      <c r="C28" s="22" t="s">
        <v>75</v>
      </c>
      <c r="D28" s="13" t="s">
        <v>76</v>
      </c>
      <c r="E28" s="22" t="s">
        <v>77</v>
      </c>
      <c r="F28" s="25" t="s">
        <v>24</v>
      </c>
      <c r="G28" s="33">
        <f>+IF(F28="SI",Datos!$C$14,0)</f>
        <v>0.25</v>
      </c>
      <c r="H28" s="20"/>
      <c r="I28" s="13" t="s">
        <v>161</v>
      </c>
    </row>
    <row r="29" spans="1:9">
      <c r="B29" s="41"/>
      <c r="E29" s="36" t="s">
        <v>78</v>
      </c>
      <c r="G29" s="42">
        <f>+G26+G23+G21+G18</f>
        <v>49.027310478903459</v>
      </c>
    </row>
    <row r="30" spans="1:9">
      <c r="B30" s="41"/>
    </row>
    <row r="31" spans="1:9">
      <c r="B31" s="41"/>
    </row>
    <row r="32" spans="1:9">
      <c r="B32" s="41"/>
      <c r="G32" s="43"/>
    </row>
    <row r="33" spans="2:2">
      <c r="B33" s="41"/>
    </row>
    <row r="34" spans="2:2">
      <c r="B34" s="41"/>
    </row>
    <row r="35" spans="2:2">
      <c r="B35" s="41"/>
    </row>
    <row r="36" spans="2:2">
      <c r="B36" s="41"/>
    </row>
    <row r="37" spans="2:2">
      <c r="B37" s="41"/>
    </row>
    <row r="38" spans="2:2">
      <c r="B38" s="41"/>
    </row>
    <row r="39" spans="2:2">
      <c r="B39" s="41"/>
    </row>
    <row r="40" spans="2:2">
      <c r="B40" s="41"/>
    </row>
    <row r="41" spans="2:2">
      <c r="B41" s="41"/>
    </row>
    <row r="42" spans="2:2">
      <c r="B42" s="41"/>
    </row>
    <row r="43" spans="2:2">
      <c r="B43" s="41"/>
    </row>
    <row r="44" spans="2:2">
      <c r="B44" s="41"/>
    </row>
    <row r="45" spans="2:2">
      <c r="B45" s="41"/>
    </row>
    <row r="46" spans="2:2">
      <c r="B46" s="41"/>
    </row>
    <row r="47" spans="2:2">
      <c r="B47" s="41"/>
    </row>
    <row r="48" spans="2:2">
      <c r="B48" s="41"/>
    </row>
    <row r="49" spans="2:2">
      <c r="B49" s="41"/>
    </row>
    <row r="50" spans="2:2">
      <c r="B50" s="41"/>
    </row>
    <row r="51" spans="2:2">
      <c r="B51" s="41"/>
    </row>
    <row r="52" spans="2:2">
      <c r="B52" s="41"/>
    </row>
    <row r="53" spans="2:2">
      <c r="B53" s="41"/>
    </row>
    <row r="54" spans="2:2">
      <c r="B54" s="41"/>
    </row>
    <row r="55" spans="2:2">
      <c r="B55" s="41"/>
    </row>
    <row r="56" spans="2:2">
      <c r="B56" s="41"/>
    </row>
    <row r="57" spans="2:2">
      <c r="B57" s="41"/>
    </row>
    <row r="58" spans="2:2">
      <c r="B58" s="41"/>
    </row>
    <row r="59" spans="2:2">
      <c r="B59" s="41"/>
    </row>
    <row r="60" spans="2:2">
      <c r="B60" s="41"/>
    </row>
    <row r="61" spans="2:2">
      <c r="B61" s="41"/>
    </row>
    <row r="62" spans="2:2">
      <c r="B62" s="41"/>
    </row>
    <row r="63" spans="2:2">
      <c r="B63" s="41"/>
    </row>
    <row r="64" spans="2:2">
      <c r="B64" s="41"/>
    </row>
    <row r="65" spans="2:2">
      <c r="B65" s="41"/>
    </row>
    <row r="66" spans="2:2">
      <c r="B66" s="41"/>
    </row>
    <row r="67" spans="2:2">
      <c r="B67" s="41"/>
    </row>
    <row r="68" spans="2:2">
      <c r="B68" s="41"/>
    </row>
    <row r="69" spans="2:2">
      <c r="B69" s="41"/>
    </row>
    <row r="70" spans="2:2">
      <c r="B70" s="41"/>
    </row>
    <row r="71" spans="2:2">
      <c r="B71" s="41"/>
    </row>
    <row r="72" spans="2:2">
      <c r="B72" s="41"/>
    </row>
    <row r="73" spans="2:2">
      <c r="B73" s="41"/>
    </row>
    <row r="74" spans="2:2">
      <c r="B74" s="41"/>
    </row>
    <row r="75" spans="2:2">
      <c r="B75" s="41"/>
    </row>
    <row r="76" spans="2:2">
      <c r="B76" s="41"/>
    </row>
    <row r="77" spans="2:2">
      <c r="B77" s="41"/>
    </row>
    <row r="78" spans="2:2">
      <c r="B78" s="41"/>
    </row>
    <row r="79" spans="2:2">
      <c r="B79" s="41"/>
    </row>
    <row r="80" spans="2:2">
      <c r="B80" s="41"/>
    </row>
    <row r="81" spans="2:2">
      <c r="B81" s="41"/>
    </row>
    <row r="82" spans="2:2">
      <c r="B82" s="41"/>
    </row>
    <row r="83" spans="2:2">
      <c r="B83" s="41"/>
    </row>
    <row r="84" spans="2:2">
      <c r="B84" s="41"/>
    </row>
    <row r="85" spans="2:2">
      <c r="B85" s="41"/>
    </row>
    <row r="86" spans="2:2">
      <c r="B86" s="41"/>
    </row>
    <row r="87" spans="2:2">
      <c r="B87" s="41"/>
    </row>
    <row r="88" spans="2:2">
      <c r="B88" s="41"/>
    </row>
    <row r="89" spans="2:2">
      <c r="B89" s="41"/>
    </row>
    <row r="90" spans="2:2">
      <c r="B90" s="41"/>
    </row>
    <row r="91" spans="2:2">
      <c r="B91" s="41"/>
    </row>
    <row r="92" spans="2:2">
      <c r="B92" s="41"/>
    </row>
    <row r="93" spans="2:2">
      <c r="B93" s="41"/>
    </row>
    <row r="94" spans="2:2">
      <c r="B94" s="41"/>
    </row>
    <row r="95" spans="2:2">
      <c r="B95" s="41"/>
    </row>
    <row r="96" spans="2:2">
      <c r="B96" s="41"/>
    </row>
    <row r="97" spans="2:2">
      <c r="B97" s="41"/>
    </row>
    <row r="98" spans="2:2">
      <c r="B98" s="41"/>
    </row>
    <row r="99" spans="2:2">
      <c r="B99" s="41"/>
    </row>
    <row r="100" spans="2:2">
      <c r="B100" s="41"/>
    </row>
  </sheetData>
  <sheetProtection algorithmName="SHA-512" hashValue="hBtqxYSoj+oJDUIOcl42HFE4qddxb5eZsaVvi1sSe++bVC8mEbcVY8okjpvZZCs6q8g/MdM5eyBNgh0zXv9GCw==" saltValue="hHje9IlaQj6bLD21cH2vTw==" spinCount="100000" sheet="1" formatCells="0" formatColumns="0" formatRows="0" insertColumns="0" insertRows="0" insertHyperlinks="0" deleteColumns="0" deleteRows="0" sort="0" autoFilter="0" pivotTables="0"/>
  <mergeCells count="11">
    <mergeCell ref="B7:D7"/>
    <mergeCell ref="B8:D8"/>
    <mergeCell ref="B11:B12"/>
    <mergeCell ref="B24:B25"/>
    <mergeCell ref="C24:C25"/>
    <mergeCell ref="B6:D6"/>
    <mergeCell ref="B1:D1"/>
    <mergeCell ref="B2:D2"/>
    <mergeCell ref="B3:D3"/>
    <mergeCell ref="B4:D4"/>
    <mergeCell ref="B5:D5"/>
  </mergeCells>
  <conditionalFormatting sqref="H11:H16">
    <cfRule type="containsText" dxfId="6" priority="1" operator="containsText" text="ACEPTADO">
      <formula>NOT(ISERROR(SEARCH("ACEPTADO",H11)))</formula>
    </cfRule>
    <cfRule type="cellIs" dxfId="5" priority="2" operator="equal">
      <formula>"RECHAZADO"</formula>
    </cfRule>
    <cfRule type="cellIs" dxfId="4" priority="3" operator="equal">
      <formula>"""Rechazado"""</formula>
    </cfRule>
  </conditionalFormatting>
  <hyperlinks>
    <hyperlink ref="B5" r:id="rId1" xr:uid="{939D65AC-77F8-4DC5-82A0-C2BAF007296E}"/>
  </hyperlinks>
  <printOptions horizontalCentered="1"/>
  <pageMargins left="0.25" right="0.25" top="0.75" bottom="0.75" header="0.3" footer="0.3"/>
  <pageSetup paperSize="5" scale="43" fitToHeight="0" orientation="landscape" r:id="rId2"/>
  <rowBreaks count="1" manualBreakCount="1">
    <brk id="17" max="8" man="1"/>
  </rowBreaks>
  <extLst>
    <ext xmlns:x14="http://schemas.microsoft.com/office/spreadsheetml/2009/9/main" uri="{CCE6A557-97BC-4b89-ADB6-D9C93CAAB3DF}">
      <x14:dataValidations xmlns:xm="http://schemas.microsoft.com/office/excel/2006/main" count="3">
        <x14:dataValidation type="list" allowBlank="1" showInputMessage="1" showErrorMessage="1" xr:uid="{18D31023-8AF8-3C47-BE96-13BC934171F8}">
          <x14:formula1>
            <xm:f>Datos!$A$16:$A$17</xm:f>
          </x14:formula1>
          <xm:sqref>E24 F19:F20 F27:F28 E11:E16</xm:sqref>
        </x14:dataValidation>
        <x14:dataValidation type="list" allowBlank="1" showInputMessage="1" showErrorMessage="1" xr:uid="{EF873389-125D-4D43-8E7A-4C15BB961F2D}">
          <x14:formula1>
            <xm:f>Datos!$F$2:$F$4</xm:f>
          </x14:formula1>
          <xm:sqref>B2 E2:I2</xm:sqref>
        </x14:dataValidation>
        <x14:dataValidation type="list" allowBlank="1" showInputMessage="1" showErrorMessage="1" xr:uid="{975B91B4-5F0F-794A-817C-0EBDDA92C8BA}">
          <x14:formula1>
            <xm:f>Datos!$A$20:$A$21</xm:f>
          </x14:formula1>
          <xm:sqref>B7 E7:I7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BB978-14E0-C043-A387-25D4F753EB4B}">
  <sheetPr>
    <pageSetUpPr fitToPage="1"/>
  </sheetPr>
  <dimension ref="A1:J100"/>
  <sheetViews>
    <sheetView view="pageBreakPreview" topLeftCell="A12" zoomScaleNormal="80" zoomScaleSheetLayoutView="100" workbookViewId="0">
      <selection activeCell="C19" sqref="C19"/>
    </sheetView>
  </sheetViews>
  <sheetFormatPr baseColWidth="10" defaultColWidth="11" defaultRowHeight="16"/>
  <cols>
    <col min="1" max="1" width="56.1640625" style="36" bestFit="1" customWidth="1"/>
    <col min="2" max="2" width="5.5" style="36" bestFit="1" customWidth="1"/>
    <col min="3" max="3" width="62.6640625" style="36" bestFit="1" customWidth="1"/>
    <col min="4" max="4" width="46.6640625" style="36" customWidth="1"/>
    <col min="5" max="5" width="40.33203125" style="36" customWidth="1"/>
    <col min="6" max="6" width="30.33203125" style="36" bestFit="1" customWidth="1"/>
    <col min="7" max="7" width="18" style="36" customWidth="1"/>
    <col min="8" max="8" width="15.5" style="36" customWidth="1"/>
    <col min="9" max="9" width="127" style="36" customWidth="1"/>
    <col min="10" max="16384" width="11" style="36"/>
  </cols>
  <sheetData>
    <row r="1" spans="1:9">
      <c r="A1" s="35" t="s">
        <v>0</v>
      </c>
      <c r="B1" s="112" t="s">
        <v>94</v>
      </c>
      <c r="C1" s="109"/>
      <c r="D1" s="113"/>
      <c r="E1" s="15"/>
      <c r="F1" s="16"/>
      <c r="G1" s="16"/>
      <c r="H1" s="16"/>
      <c r="I1" s="16"/>
    </row>
    <row r="2" spans="1:9">
      <c r="A2" s="35" t="s">
        <v>2</v>
      </c>
      <c r="B2" s="109">
        <v>1</v>
      </c>
      <c r="C2" s="109"/>
      <c r="D2" s="109"/>
      <c r="E2" s="15"/>
      <c r="F2" s="16"/>
      <c r="G2" s="16"/>
      <c r="H2" s="16"/>
      <c r="I2" s="16"/>
    </row>
    <row r="3" spans="1:9">
      <c r="A3" s="35" t="s">
        <v>3</v>
      </c>
      <c r="B3" s="117">
        <v>46098</v>
      </c>
      <c r="C3" s="112"/>
      <c r="D3" s="112"/>
      <c r="E3" s="15"/>
      <c r="F3" s="16"/>
      <c r="G3" s="16"/>
      <c r="H3" s="16"/>
      <c r="I3" s="16"/>
    </row>
    <row r="4" spans="1:9">
      <c r="A4" s="35" t="s">
        <v>4</v>
      </c>
      <c r="B4" s="109" t="s">
        <v>95</v>
      </c>
      <c r="C4" s="109"/>
      <c r="D4" s="109"/>
      <c r="E4" s="15"/>
      <c r="F4" s="16"/>
      <c r="G4" s="16"/>
      <c r="H4" s="16"/>
      <c r="I4" s="16"/>
    </row>
    <row r="5" spans="1:9">
      <c r="A5" s="35" t="s">
        <v>6</v>
      </c>
      <c r="B5" s="115" t="s">
        <v>96</v>
      </c>
      <c r="C5" s="115"/>
      <c r="D5" s="115"/>
      <c r="E5" s="17"/>
      <c r="F5" s="18"/>
      <c r="G5" s="18"/>
      <c r="H5" s="18"/>
      <c r="I5" s="18"/>
    </row>
    <row r="6" spans="1:9">
      <c r="A6" s="35" t="s">
        <v>8</v>
      </c>
      <c r="B6" s="109" t="s">
        <v>97</v>
      </c>
      <c r="C6" s="109"/>
      <c r="D6" s="109"/>
      <c r="E6" s="16"/>
      <c r="F6" s="16"/>
      <c r="G6" s="16"/>
      <c r="H6" s="16"/>
      <c r="I6" s="16"/>
    </row>
    <row r="7" spans="1:9">
      <c r="A7" s="35" t="s">
        <v>10</v>
      </c>
      <c r="B7" s="109" t="s">
        <v>11</v>
      </c>
      <c r="C7" s="109"/>
      <c r="D7" s="109"/>
      <c r="E7" s="16"/>
      <c r="F7" s="16"/>
      <c r="G7" s="16"/>
      <c r="H7" s="16"/>
      <c r="I7" s="16"/>
    </row>
    <row r="8" spans="1:9">
      <c r="A8" s="35" t="s">
        <v>12</v>
      </c>
      <c r="B8" s="110">
        <f>+IF($B$7="Evaluado",(G26+G23+G21+G18),0)</f>
        <v>96.575384615384621</v>
      </c>
      <c r="C8" s="110"/>
      <c r="D8" s="110"/>
      <c r="E8" s="16"/>
      <c r="F8" s="16"/>
      <c r="G8" s="16"/>
      <c r="H8" s="16"/>
      <c r="I8" s="16"/>
    </row>
    <row r="9" spans="1:9">
      <c r="A9" s="37">
        <v>2621493</v>
      </c>
    </row>
    <row r="10" spans="1:9" ht="34">
      <c r="A10" s="59" t="s">
        <v>13</v>
      </c>
      <c r="B10" s="38" t="s">
        <v>14</v>
      </c>
      <c r="C10" s="38" t="s">
        <v>15</v>
      </c>
      <c r="D10" s="38" t="s">
        <v>16</v>
      </c>
      <c r="E10" s="39" t="s">
        <v>17</v>
      </c>
      <c r="F10" s="38" t="s">
        <v>18</v>
      </c>
      <c r="G10" s="38"/>
      <c r="H10" s="38" t="s">
        <v>19</v>
      </c>
      <c r="I10" s="38" t="s">
        <v>20</v>
      </c>
    </row>
    <row r="11" spans="1:9" ht="68">
      <c r="A11" s="57" t="s">
        <v>21</v>
      </c>
      <c r="B11" s="111">
        <v>1</v>
      </c>
      <c r="C11" s="22" t="s">
        <v>22</v>
      </c>
      <c r="D11" s="80" t="s">
        <v>23</v>
      </c>
      <c r="E11" s="25" t="s">
        <v>24</v>
      </c>
      <c r="F11" s="20"/>
      <c r="G11" s="20"/>
      <c r="H11" s="19" t="str">
        <f>+IF(E11="SI","ACEPTADO","RECHAZADO")</f>
        <v>ACEPTADO</v>
      </c>
      <c r="I11" s="48" t="s">
        <v>25</v>
      </c>
    </row>
    <row r="12" spans="1:9" ht="85">
      <c r="A12" s="44"/>
      <c r="B12" s="111"/>
      <c r="C12" s="22" t="s">
        <v>26</v>
      </c>
      <c r="D12" s="80" t="s">
        <v>23</v>
      </c>
      <c r="E12" s="53"/>
      <c r="F12" s="54">
        <v>65000000</v>
      </c>
      <c r="G12" s="20"/>
      <c r="H12" s="19" t="str">
        <f>+IF(F12&lt;=Datos!B29,"ACEPTADO","RECHAZADO")</f>
        <v>ACEPTADO</v>
      </c>
      <c r="I12" s="48" t="s">
        <v>98</v>
      </c>
    </row>
    <row r="13" spans="1:9" ht="85">
      <c r="A13" s="44"/>
      <c r="B13" s="49">
        <v>2</v>
      </c>
      <c r="C13" s="22" t="s">
        <v>28</v>
      </c>
      <c r="D13" s="80" t="s">
        <v>23</v>
      </c>
      <c r="E13" s="25" t="s">
        <v>24</v>
      </c>
      <c r="F13" s="47" t="s">
        <v>29</v>
      </c>
      <c r="G13" s="21">
        <v>1015625</v>
      </c>
      <c r="H13" s="19" t="str">
        <f>+IF(G13&lt;=Datos!B28,"ACEPTADO","RECHAZADO")</f>
        <v>ACEPTADO</v>
      </c>
      <c r="I13" s="48" t="s">
        <v>99</v>
      </c>
    </row>
    <row r="14" spans="1:9" ht="116" customHeight="1">
      <c r="A14" s="44"/>
      <c r="B14" s="49">
        <v>3</v>
      </c>
      <c r="C14" s="22" t="s">
        <v>31</v>
      </c>
      <c r="D14" s="80" t="s">
        <v>32</v>
      </c>
      <c r="E14" s="25" t="s">
        <v>24</v>
      </c>
      <c r="F14" s="20"/>
      <c r="G14" s="20"/>
      <c r="H14" s="19" t="str">
        <f>+IF(E14="SI","ACEPTADO","RECHAZADO")</f>
        <v>ACEPTADO</v>
      </c>
      <c r="I14" s="48" t="s">
        <v>33</v>
      </c>
    </row>
    <row r="15" spans="1:9" ht="117" customHeight="1">
      <c r="A15" s="44" t="s">
        <v>100</v>
      </c>
      <c r="B15" s="49">
        <v>4</v>
      </c>
      <c r="C15" s="22" t="s">
        <v>34</v>
      </c>
      <c r="D15" s="80" t="s">
        <v>35</v>
      </c>
      <c r="E15" s="25" t="s">
        <v>24</v>
      </c>
      <c r="F15" s="20"/>
      <c r="G15" s="20"/>
      <c r="H15" s="19" t="str">
        <f>+IF(E15="SI","ACEPTADO","RECHAZADO")</f>
        <v>ACEPTADO</v>
      </c>
      <c r="I15" s="48" t="s">
        <v>36</v>
      </c>
    </row>
    <row r="16" spans="1:9" ht="60" customHeight="1">
      <c r="A16" s="45"/>
      <c r="B16" s="49">
        <v>5</v>
      </c>
      <c r="C16" s="22" t="s">
        <v>37</v>
      </c>
      <c r="D16" s="80" t="s">
        <v>38</v>
      </c>
      <c r="E16" s="25" t="s">
        <v>39</v>
      </c>
      <c r="F16" s="20"/>
      <c r="G16" s="20"/>
      <c r="H16" s="19" t="str">
        <f>+IF(E16="NO","ACEPTADO","RECHAZADO")</f>
        <v>ACEPTADO</v>
      </c>
      <c r="I16" s="48"/>
    </row>
    <row r="17" spans="1:10" ht="60" customHeight="1">
      <c r="A17" s="61" t="s">
        <v>40</v>
      </c>
      <c r="B17" s="38" t="s">
        <v>14</v>
      </c>
      <c r="C17" s="38" t="s">
        <v>41</v>
      </c>
      <c r="D17" s="38"/>
      <c r="E17" s="38"/>
      <c r="F17" s="38"/>
      <c r="G17" s="38" t="s">
        <v>42</v>
      </c>
      <c r="H17" s="38"/>
      <c r="I17" s="77"/>
    </row>
    <row r="18" spans="1:10" s="40" customFormat="1" ht="60" customHeight="1">
      <c r="A18" s="57" t="s">
        <v>43</v>
      </c>
      <c r="B18" s="60"/>
      <c r="C18" s="85" t="s">
        <v>44</v>
      </c>
      <c r="D18" s="24" t="s">
        <v>45</v>
      </c>
      <c r="E18" s="24" t="s">
        <v>46</v>
      </c>
      <c r="F18" s="24" t="s">
        <v>47</v>
      </c>
      <c r="G18" s="26">
        <f>+MAX(G19:G20)</f>
        <v>30.5</v>
      </c>
      <c r="H18" s="23"/>
      <c r="I18" s="58"/>
    </row>
    <row r="19" spans="1:10" ht="185" customHeight="1">
      <c r="A19" s="29"/>
      <c r="B19" s="62" t="s">
        <v>48</v>
      </c>
      <c r="C19" s="46" t="s">
        <v>49</v>
      </c>
      <c r="D19" s="13" t="s">
        <v>50</v>
      </c>
      <c r="E19" s="46" t="s">
        <v>51</v>
      </c>
      <c r="F19" s="65" t="s">
        <v>39</v>
      </c>
      <c r="G19" s="75">
        <f>+IF(F19="SI",Datos!C3,0)</f>
        <v>0</v>
      </c>
      <c r="H19" s="67"/>
      <c r="I19" s="83"/>
    </row>
    <row r="20" spans="1:10" ht="167" customHeight="1">
      <c r="A20" s="29"/>
      <c r="B20" s="49" t="s">
        <v>52</v>
      </c>
      <c r="C20" s="22" t="s">
        <v>53</v>
      </c>
      <c r="D20" s="13" t="s">
        <v>50</v>
      </c>
      <c r="E20" s="22" t="s">
        <v>54</v>
      </c>
      <c r="F20" s="25" t="s">
        <v>24</v>
      </c>
      <c r="G20" s="27">
        <f>+IF(F20="SI",Datos!C4,0)</f>
        <v>30.5</v>
      </c>
      <c r="H20" s="20"/>
      <c r="I20" s="83" t="s">
        <v>84</v>
      </c>
    </row>
    <row r="21" spans="1:10" s="40" customFormat="1" ht="60" customHeight="1">
      <c r="A21" s="57" t="s">
        <v>56</v>
      </c>
      <c r="B21" s="60"/>
      <c r="C21" s="23" t="s">
        <v>57</v>
      </c>
      <c r="D21" s="24" t="s">
        <v>45</v>
      </c>
      <c r="E21" s="24"/>
      <c r="F21" s="24" t="s">
        <v>47</v>
      </c>
      <c r="G21" s="26">
        <f>+SUM(G22:G22)</f>
        <v>17.575384615384614</v>
      </c>
      <c r="H21" s="56" t="s">
        <v>58</v>
      </c>
      <c r="I21" s="58"/>
    </row>
    <row r="22" spans="1:10" ht="116" customHeight="1">
      <c r="A22" s="29"/>
      <c r="B22" s="62" t="s">
        <v>59</v>
      </c>
      <c r="C22" s="63" t="s">
        <v>60</v>
      </c>
      <c r="D22" s="72" t="s">
        <v>23</v>
      </c>
      <c r="E22" s="73" t="s">
        <v>29</v>
      </c>
      <c r="F22" s="74">
        <f>+G13</f>
        <v>1015625</v>
      </c>
      <c r="G22" s="66">
        <f>IF($H$13="ACEPTADO",((Datos!$C$7*(Medidas!$C$9/Oferta_5_Incap!F22))),0)</f>
        <v>17.575384615384614</v>
      </c>
      <c r="H22" s="76">
        <v>64</v>
      </c>
      <c r="I22" s="84" t="s">
        <v>167</v>
      </c>
    </row>
    <row r="23" spans="1:10" s="40" customFormat="1" ht="60" customHeight="1">
      <c r="A23" s="57" t="s">
        <v>62</v>
      </c>
      <c r="B23" s="60"/>
      <c r="C23" s="23" t="s">
        <v>63</v>
      </c>
      <c r="D23" s="24" t="s">
        <v>45</v>
      </c>
      <c r="E23" s="24"/>
      <c r="F23" s="24" t="s">
        <v>47</v>
      </c>
      <c r="G23" s="26">
        <f>+G25</f>
        <v>48</v>
      </c>
      <c r="H23" s="23"/>
      <c r="I23" s="91"/>
    </row>
    <row r="24" spans="1:10" ht="96" customHeight="1">
      <c r="A24" s="29"/>
      <c r="B24" s="105" t="s">
        <v>64</v>
      </c>
      <c r="C24" s="107" t="s">
        <v>65</v>
      </c>
      <c r="D24" s="68" t="s">
        <v>66</v>
      </c>
      <c r="E24" s="69" t="s">
        <v>24</v>
      </c>
      <c r="F24" s="67"/>
      <c r="G24" s="70"/>
      <c r="H24" s="89"/>
      <c r="I24" s="88" t="s">
        <v>101</v>
      </c>
    </row>
    <row r="25" spans="1:10" ht="409.5" customHeight="1">
      <c r="A25" s="29"/>
      <c r="B25" s="106"/>
      <c r="C25" s="108"/>
      <c r="D25" s="51" t="s">
        <v>68</v>
      </c>
      <c r="E25" s="50"/>
      <c r="F25" s="28">
        <v>4616</v>
      </c>
      <c r="G25" s="33">
        <f>IF(E24="SI",(Datos!$C$10*(Medidas!$D$9/Oferta_5_Incap!F25)),0)</f>
        <v>48</v>
      </c>
      <c r="H25" s="90"/>
      <c r="I25" s="88" t="s">
        <v>168</v>
      </c>
    </row>
    <row r="26" spans="1:10" s="40" customFormat="1" ht="60" customHeight="1">
      <c r="A26" s="57" t="s">
        <v>69</v>
      </c>
      <c r="B26" s="60"/>
      <c r="C26" s="23" t="s">
        <v>70</v>
      </c>
      <c r="D26" s="24" t="s">
        <v>45</v>
      </c>
      <c r="E26" s="24" t="s">
        <v>46</v>
      </c>
      <c r="F26" s="24" t="s">
        <v>47</v>
      </c>
      <c r="G26" s="26">
        <f>+SUM(G27:G28)</f>
        <v>0.5</v>
      </c>
      <c r="H26" s="23"/>
      <c r="I26" s="92"/>
    </row>
    <row r="27" spans="1:10" ht="81" customHeight="1">
      <c r="A27" s="29"/>
      <c r="B27" s="62" t="s">
        <v>71</v>
      </c>
      <c r="C27" s="63" t="s">
        <v>72</v>
      </c>
      <c r="D27" s="64"/>
      <c r="E27" s="46" t="s">
        <v>73</v>
      </c>
      <c r="F27" s="65" t="s">
        <v>24</v>
      </c>
      <c r="G27" s="66">
        <f>+IF(F27="SI",Datos!$C$13,0)</f>
        <v>0.25</v>
      </c>
      <c r="H27" s="67"/>
      <c r="I27" s="97" t="s">
        <v>102</v>
      </c>
    </row>
    <row r="28" spans="1:10" ht="117" customHeight="1">
      <c r="A28" s="30"/>
      <c r="B28" s="49" t="s">
        <v>74</v>
      </c>
      <c r="C28" s="22" t="s">
        <v>75</v>
      </c>
      <c r="D28" s="13" t="s">
        <v>76</v>
      </c>
      <c r="E28" s="22" t="s">
        <v>77</v>
      </c>
      <c r="F28" s="25" t="s">
        <v>24</v>
      </c>
      <c r="G28" s="33">
        <f>+IF(F28="SI",Datos!$C$14,0)</f>
        <v>0.25</v>
      </c>
      <c r="H28" s="90"/>
      <c r="I28" s="88" t="s">
        <v>169</v>
      </c>
      <c r="J28" s="93"/>
    </row>
    <row r="29" spans="1:10">
      <c r="B29" s="41"/>
      <c r="E29" s="36" t="s">
        <v>78</v>
      </c>
      <c r="G29" s="42">
        <f>+G26+G23+G21+G18</f>
        <v>96.575384615384621</v>
      </c>
    </row>
    <row r="30" spans="1:10">
      <c r="B30" s="41"/>
    </row>
    <row r="31" spans="1:10">
      <c r="B31" s="41"/>
    </row>
    <row r="32" spans="1:10">
      <c r="B32" s="41"/>
      <c r="G32" s="43"/>
    </row>
    <row r="33" spans="2:2">
      <c r="B33" s="41"/>
    </row>
    <row r="34" spans="2:2">
      <c r="B34" s="41"/>
    </row>
    <row r="35" spans="2:2">
      <c r="B35" s="41"/>
    </row>
    <row r="36" spans="2:2">
      <c r="B36" s="41"/>
    </row>
    <row r="37" spans="2:2">
      <c r="B37" s="41"/>
    </row>
    <row r="38" spans="2:2">
      <c r="B38" s="41"/>
    </row>
    <row r="39" spans="2:2">
      <c r="B39" s="41"/>
    </row>
    <row r="40" spans="2:2">
      <c r="B40" s="41"/>
    </row>
    <row r="41" spans="2:2">
      <c r="B41" s="41"/>
    </row>
    <row r="42" spans="2:2">
      <c r="B42" s="41"/>
    </row>
    <row r="43" spans="2:2">
      <c r="B43" s="41"/>
    </row>
    <row r="44" spans="2:2">
      <c r="B44" s="41"/>
    </row>
    <row r="45" spans="2:2">
      <c r="B45" s="41"/>
    </row>
    <row r="46" spans="2:2">
      <c r="B46" s="41"/>
    </row>
    <row r="47" spans="2:2">
      <c r="B47" s="41"/>
    </row>
    <row r="48" spans="2:2">
      <c r="B48" s="41"/>
    </row>
    <row r="49" spans="2:2">
      <c r="B49" s="41"/>
    </row>
    <row r="50" spans="2:2">
      <c r="B50" s="41"/>
    </row>
    <row r="51" spans="2:2">
      <c r="B51" s="41"/>
    </row>
    <row r="52" spans="2:2">
      <c r="B52" s="41"/>
    </row>
    <row r="53" spans="2:2">
      <c r="B53" s="41"/>
    </row>
    <row r="54" spans="2:2">
      <c r="B54" s="41"/>
    </row>
    <row r="55" spans="2:2">
      <c r="B55" s="41"/>
    </row>
    <row r="56" spans="2:2">
      <c r="B56" s="41"/>
    </row>
    <row r="57" spans="2:2">
      <c r="B57" s="41"/>
    </row>
    <row r="58" spans="2:2">
      <c r="B58" s="41"/>
    </row>
    <row r="59" spans="2:2">
      <c r="B59" s="41"/>
    </row>
    <row r="60" spans="2:2">
      <c r="B60" s="41"/>
    </row>
    <row r="61" spans="2:2">
      <c r="B61" s="41"/>
    </row>
    <row r="62" spans="2:2">
      <c r="B62" s="41"/>
    </row>
    <row r="63" spans="2:2">
      <c r="B63" s="41"/>
    </row>
    <row r="64" spans="2:2">
      <c r="B64" s="41"/>
    </row>
    <row r="65" spans="2:2">
      <c r="B65" s="41"/>
    </row>
    <row r="66" spans="2:2">
      <c r="B66" s="41"/>
    </row>
    <row r="67" spans="2:2">
      <c r="B67" s="41"/>
    </row>
    <row r="68" spans="2:2">
      <c r="B68" s="41"/>
    </row>
    <row r="69" spans="2:2">
      <c r="B69" s="41"/>
    </row>
    <row r="70" spans="2:2">
      <c r="B70" s="41"/>
    </row>
    <row r="71" spans="2:2">
      <c r="B71" s="41"/>
    </row>
    <row r="72" spans="2:2">
      <c r="B72" s="41"/>
    </row>
    <row r="73" spans="2:2">
      <c r="B73" s="41"/>
    </row>
    <row r="74" spans="2:2">
      <c r="B74" s="41"/>
    </row>
    <row r="75" spans="2:2">
      <c r="B75" s="41"/>
    </row>
    <row r="76" spans="2:2">
      <c r="B76" s="41"/>
    </row>
    <row r="77" spans="2:2">
      <c r="B77" s="41"/>
    </row>
    <row r="78" spans="2:2">
      <c r="B78" s="41"/>
    </row>
    <row r="79" spans="2:2">
      <c r="B79" s="41"/>
    </row>
    <row r="80" spans="2:2">
      <c r="B80" s="41"/>
    </row>
    <row r="81" spans="2:2">
      <c r="B81" s="41"/>
    </row>
    <row r="82" spans="2:2">
      <c r="B82" s="41"/>
    </row>
    <row r="83" spans="2:2">
      <c r="B83" s="41"/>
    </row>
    <row r="84" spans="2:2">
      <c r="B84" s="41"/>
    </row>
    <row r="85" spans="2:2">
      <c r="B85" s="41"/>
    </row>
    <row r="86" spans="2:2">
      <c r="B86" s="41"/>
    </row>
    <row r="87" spans="2:2">
      <c r="B87" s="41"/>
    </row>
    <row r="88" spans="2:2">
      <c r="B88" s="41"/>
    </row>
    <row r="89" spans="2:2">
      <c r="B89" s="41"/>
    </row>
    <row r="90" spans="2:2">
      <c r="B90" s="41"/>
    </row>
    <row r="91" spans="2:2">
      <c r="B91" s="41"/>
    </row>
    <row r="92" spans="2:2">
      <c r="B92" s="41"/>
    </row>
    <row r="93" spans="2:2">
      <c r="B93" s="41"/>
    </row>
    <row r="94" spans="2:2">
      <c r="B94" s="41"/>
    </row>
    <row r="95" spans="2:2">
      <c r="B95" s="41"/>
    </row>
    <row r="96" spans="2:2">
      <c r="B96" s="41"/>
    </row>
    <row r="97" spans="2:2">
      <c r="B97" s="41"/>
    </row>
    <row r="98" spans="2:2">
      <c r="B98" s="41"/>
    </row>
    <row r="99" spans="2:2">
      <c r="B99" s="41"/>
    </row>
    <row r="100" spans="2:2">
      <c r="B100" s="41"/>
    </row>
  </sheetData>
  <sheetProtection algorithmName="SHA-512" hashValue="dXHd1oiqAMw+mK1OX5iWQQ5AbOWezjbBkp1G0FDz77EkYTpMNJd0luG+qP9iLwJJi4sB8cwR+MRmSX086ye1eA==" saltValue="7KcGDmeDdVh93yg/tk9J3g==" spinCount="100000" sheet="1" formatCells="0" formatColumns="0" formatRows="0" insertColumns="0" insertRows="0" insertHyperlinks="0" deleteColumns="0" deleteRows="0" sort="0" autoFilter="0" pivotTables="0"/>
  <mergeCells count="11">
    <mergeCell ref="B7:D7"/>
    <mergeCell ref="B8:D8"/>
    <mergeCell ref="B11:B12"/>
    <mergeCell ref="B24:B25"/>
    <mergeCell ref="C24:C25"/>
    <mergeCell ref="B6:D6"/>
    <mergeCell ref="B1:D1"/>
    <mergeCell ref="B2:D2"/>
    <mergeCell ref="B3:D3"/>
    <mergeCell ref="B4:D4"/>
    <mergeCell ref="B5:D5"/>
  </mergeCells>
  <conditionalFormatting sqref="H11:H16">
    <cfRule type="containsText" dxfId="3" priority="1" operator="containsText" text="ACEPTADO">
      <formula>NOT(ISERROR(SEARCH("ACEPTADO",H11)))</formula>
    </cfRule>
    <cfRule type="cellIs" dxfId="2" priority="2" operator="equal">
      <formula>"RECHAZADO"</formula>
    </cfRule>
    <cfRule type="cellIs" dxfId="1" priority="3" operator="equal">
      <formula>"""Rechazado"""</formula>
    </cfRule>
  </conditionalFormatting>
  <hyperlinks>
    <hyperlink ref="B5" r:id="rId1" xr:uid="{89FA7FFF-BE31-FB4A-AAB4-7B20137827B9}"/>
  </hyperlinks>
  <printOptions horizontalCentered="1"/>
  <pageMargins left="0.25" right="0.25" top="0.75" bottom="0.75" header="0.3" footer="0.3"/>
  <pageSetup paperSize="5" scale="39" fitToHeight="0" orientation="landscape" r:id="rId2"/>
  <extLst>
    <ext xmlns:x14="http://schemas.microsoft.com/office/spreadsheetml/2009/9/main" uri="{CCE6A557-97BC-4b89-ADB6-D9C93CAAB3DF}">
      <x14:dataValidations xmlns:xm="http://schemas.microsoft.com/office/excel/2006/main" count="3">
        <x14:dataValidation type="list" allowBlank="1" showInputMessage="1" showErrorMessage="1" xr:uid="{7AE866B2-9C1D-7149-A391-4C068A576BD6}">
          <x14:formula1>
            <xm:f>Datos!$A$20:$A$21</xm:f>
          </x14:formula1>
          <xm:sqref>B7 E7:I7</xm:sqref>
        </x14:dataValidation>
        <x14:dataValidation type="list" allowBlank="1" showInputMessage="1" showErrorMessage="1" xr:uid="{6980AA1D-3A59-1A46-81B7-71C93FB9D35B}">
          <x14:formula1>
            <xm:f>Datos!$F$2:$F$4</xm:f>
          </x14:formula1>
          <xm:sqref>B2 E2:I2</xm:sqref>
        </x14:dataValidation>
        <x14:dataValidation type="list" allowBlank="1" showInputMessage="1" showErrorMessage="1" xr:uid="{49D8A075-FCB1-D442-9630-454CCDDC18A6}">
          <x14:formula1>
            <xm:f>Datos!$A$16:$A$17</xm:f>
          </x14:formula1>
          <xm:sqref>E24 F19:F20 F27:F28 E11:E16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9D983-A343-604A-AFB9-C1A724E2F9A1}">
  <sheetPr>
    <pageSetUpPr fitToPage="1"/>
  </sheetPr>
  <dimension ref="A2:F13"/>
  <sheetViews>
    <sheetView showGridLines="0" view="pageBreakPreview" zoomScale="107" zoomScaleNormal="100" zoomScaleSheetLayoutView="100" workbookViewId="0">
      <selection activeCell="A2" sqref="A2:D13"/>
    </sheetView>
  </sheetViews>
  <sheetFormatPr baseColWidth="10" defaultColWidth="11" defaultRowHeight="16"/>
  <cols>
    <col min="1" max="1" width="9.6640625" bestFit="1" customWidth="1"/>
    <col min="2" max="2" width="96.1640625" bestFit="1" customWidth="1"/>
    <col min="3" max="3" width="23.5" customWidth="1"/>
    <col min="4" max="4" width="22.33203125" customWidth="1"/>
  </cols>
  <sheetData>
    <row r="2" spans="1:6" ht="51">
      <c r="A2" s="9" t="s">
        <v>104</v>
      </c>
      <c r="B2" s="9" t="s">
        <v>105</v>
      </c>
      <c r="C2" s="10" t="s">
        <v>106</v>
      </c>
      <c r="D2" s="10" t="s">
        <v>107</v>
      </c>
    </row>
    <row r="3" spans="1:6">
      <c r="A3" s="7" t="s">
        <v>108</v>
      </c>
      <c r="B3" s="7" t="str">
        <f>+Oferta_1_Indoamericana!$B$1</f>
        <v>CORPORACION EDUCATIVA INDOAMERICANA S.A.S.</v>
      </c>
      <c r="C3" s="8">
        <f>+Oferta_1_Indoamericana!$F$22</f>
        <v>850000</v>
      </c>
      <c r="D3" s="31">
        <f>+Oferta_1_Indoamericana!$F$25</f>
        <v>986</v>
      </c>
    </row>
    <row r="4" spans="1:6">
      <c r="A4" s="7" t="s">
        <v>109</v>
      </c>
      <c r="B4" s="7" t="str">
        <f>+Oferta_2_Cualificacion_E!$B$1</f>
        <v>CORPORACION INSTITUTO COLOMBIANO DE CUALIFICACION EMPRESARIAL - CICCE</v>
      </c>
      <c r="C4" s="8">
        <f>+Oferta_2_Cualificacion_E!F22</f>
        <v>1095000</v>
      </c>
      <c r="D4" s="31">
        <f>+Oferta_2_Cualificacion_E!$F$25</f>
        <v>65</v>
      </c>
      <c r="F4" s="6"/>
    </row>
    <row r="5" spans="1:6">
      <c r="A5" s="7" t="s">
        <v>110</v>
      </c>
      <c r="B5" s="7" t="str">
        <f>+Oferta_3_Fun_CCB!$B$1</f>
        <v>FUNDACIÓN UNIVERSITARIA EMPRESARIAL DE LA CÁMARA DE COMERCIO DE BOGOTÁ – UNIEMPRESARIAL</v>
      </c>
      <c r="C5" s="8">
        <f>+Oferta_3_Fun_CCB!$F$22</f>
        <v>1172976</v>
      </c>
      <c r="D5" s="31">
        <f>+Oferta_3_Fun_CCB!$F$25</f>
        <v>55</v>
      </c>
      <c r="F5" s="6"/>
    </row>
    <row r="6" spans="1:6">
      <c r="A6" s="7" t="s">
        <v>111</v>
      </c>
      <c r="B6" s="7" t="str">
        <f>+Oferta_4_Gestion_Total!$B$1</f>
        <v>GESTIÓN TOTAL CORPORATIVA SAS BIC</v>
      </c>
      <c r="C6" s="8">
        <f>+Oferta_4_Gestion_Total!$F$22</f>
        <v>1152352.73</v>
      </c>
      <c r="D6" s="31">
        <f>+Oferta_4_Gestion_Total!$F$25</f>
        <v>244</v>
      </c>
    </row>
    <row r="7" spans="1:6">
      <c r="A7" s="7" t="s">
        <v>112</v>
      </c>
      <c r="B7" s="7" t="str">
        <f>+Oferta_5_Incap!$B$1</f>
        <v>INSTITUTO COLOMBIANO DE APRENDIZAJE (INCAP) SAS</v>
      </c>
      <c r="C7" s="8">
        <f>+Oferta_5_Incap!$F$22</f>
        <v>1015625</v>
      </c>
      <c r="D7" s="31">
        <f>+Oferta_5_Incap!$F$25</f>
        <v>4616</v>
      </c>
    </row>
    <row r="8" spans="1:6">
      <c r="C8" s="6"/>
    </row>
    <row r="9" spans="1:6">
      <c r="B9" s="14" t="s">
        <v>113</v>
      </c>
      <c r="C9" s="86">
        <f>+MIN(C3:C7)</f>
        <v>850000</v>
      </c>
      <c r="D9" s="87">
        <f>+MAX(D3:D7)</f>
        <v>4616</v>
      </c>
    </row>
    <row r="11" spans="1:6">
      <c r="C11" s="104" t="s">
        <v>114</v>
      </c>
      <c r="D11" s="8">
        <f>+MEDIAN(C3:C7)</f>
        <v>1095000</v>
      </c>
    </row>
    <row r="12" spans="1:6">
      <c r="C12" s="104" t="s">
        <v>115</v>
      </c>
      <c r="D12" s="8" cm="1">
        <f t="array" ref="D12">+MEDIAN(ABS(C3:C7-D11))</f>
        <v>77976</v>
      </c>
    </row>
    <row r="13" spans="1:6">
      <c r="C13" s="104" t="s">
        <v>116</v>
      </c>
      <c r="D13" s="8">
        <f>+D11-(D12*2)</f>
        <v>939048</v>
      </c>
    </row>
  </sheetData>
  <sheetProtection algorithmName="SHA-512" hashValue="ZzIT/yqPGqBPtdVuM95BRlTbiE6iQBs4igBgA2NKTI1ZhAhzoG7M8mKnSqs5t5EOi1MC5mE+tM+Av+o7C8rhuA==" saltValue="z6s2iQn/SCwfphBeBkXtKA==" spinCount="100000" sheet="1" formatCells="0" formatColumns="0" formatRows="0" insertColumns="0" insertRows="0" insertHyperlinks="0" deleteColumns="0" deleteRows="0" sort="0" autoFilter="0" pivotTables="0"/>
  <autoFilter ref="B2:C3" xr:uid="{E509D983-A343-604A-AFB9-C1A724E2F9A1}"/>
  <phoneticPr fontId="2" type="noConversion"/>
  <conditionalFormatting sqref="C3:C7">
    <cfRule type="cellIs" dxfId="0" priority="1" operator="lessThan">
      <formula>$D$13</formula>
    </cfRule>
  </conditionalFormatting>
  <printOptions horizontalCentered="1"/>
  <pageMargins left="0.25" right="0.25" top="0.75" bottom="0.75" header="0.3" footer="0.3"/>
  <pageSetup paperSize="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514A8-9383-984D-8B00-BA7ADFB2AE98}">
  <sheetPr>
    <pageSetUpPr fitToPage="1"/>
  </sheetPr>
  <dimension ref="B2:N8"/>
  <sheetViews>
    <sheetView view="pageBreakPreview" zoomScale="110" zoomScaleNormal="100" zoomScaleSheetLayoutView="110" workbookViewId="0">
      <selection activeCell="M13" sqref="M13"/>
    </sheetView>
  </sheetViews>
  <sheetFormatPr baseColWidth="10" defaultColWidth="11" defaultRowHeight="16"/>
  <cols>
    <col min="1" max="1" width="3" customWidth="1"/>
    <col min="2" max="2" width="90.5" bestFit="1" customWidth="1"/>
    <col min="3" max="3" width="19.6640625" customWidth="1"/>
    <col min="4" max="8" width="18" customWidth="1"/>
    <col min="9" max="9" width="19" customWidth="1"/>
    <col min="10" max="10" width="17.5" customWidth="1"/>
    <col min="11" max="12" width="16.5" customWidth="1"/>
    <col min="13" max="13" width="15.33203125" customWidth="1"/>
    <col min="14" max="14" width="16" customWidth="1"/>
  </cols>
  <sheetData>
    <row r="2" spans="2:14" s="5" customFormat="1" ht="85">
      <c r="B2" s="10" t="s">
        <v>117</v>
      </c>
      <c r="C2" s="10" t="s">
        <v>104</v>
      </c>
      <c r="D2" s="10" t="s">
        <v>118</v>
      </c>
      <c r="E2" s="10" t="s">
        <v>139</v>
      </c>
      <c r="F2" s="10" t="s">
        <v>140</v>
      </c>
      <c r="G2" s="10" t="s">
        <v>141</v>
      </c>
      <c r="H2" s="10" t="s">
        <v>142</v>
      </c>
      <c r="I2" s="10" t="s">
        <v>138</v>
      </c>
      <c r="J2" s="10" t="s">
        <v>119</v>
      </c>
      <c r="K2" s="10" t="s">
        <v>120</v>
      </c>
      <c r="L2" s="10" t="s">
        <v>171</v>
      </c>
      <c r="M2" s="10" t="s">
        <v>121</v>
      </c>
      <c r="N2" s="10" t="s">
        <v>122</v>
      </c>
    </row>
    <row r="3" spans="2:14">
      <c r="B3" s="11" t="str">
        <f>+VLOOKUP($C3,Medidas!$A$3:$B$7,2,0)</f>
        <v>CORPORACION EDUCATIVA INDOAMERICANA S.A.S.</v>
      </c>
      <c r="C3" s="11" t="s">
        <v>108</v>
      </c>
      <c r="D3" s="11" t="str">
        <f>+Oferta_1_Indoamericana!$B$7</f>
        <v>EVALUADO</v>
      </c>
      <c r="E3" s="33">
        <f>+Oferta_1_Indoamericana!$G$18</f>
        <v>30.5</v>
      </c>
      <c r="F3" s="33">
        <f>+Oferta_1_Indoamericana!$G$21</f>
        <v>0</v>
      </c>
      <c r="G3" s="33">
        <f>+Oferta_1_Indoamericana!$G$23</f>
        <v>10.253032928942808</v>
      </c>
      <c r="H3" s="33">
        <f>+Oferta_1_Indoamericana!$G$26</f>
        <v>0.25</v>
      </c>
      <c r="I3" s="32">
        <f>+Oferta_1_Indoamericana!B8</f>
        <v>41.003032928942808</v>
      </c>
      <c r="J3" s="52">
        <v>5</v>
      </c>
      <c r="K3" s="25">
        <f>+Oferta_1_Indoamericana!$B$2</f>
        <v>1</v>
      </c>
      <c r="L3" s="25" t="s">
        <v>170</v>
      </c>
      <c r="M3" s="25" t="str">
        <f>+J3&amp;"."&amp;K3</f>
        <v>5.1</v>
      </c>
      <c r="N3" s="103">
        <f>+Oferta_1_Indoamericana!$H$22</f>
        <v>76</v>
      </c>
    </row>
    <row r="4" spans="2:14">
      <c r="B4" s="11" t="str">
        <f>+VLOOKUP($C4,Medidas!$A$3:$B$7,2,0)</f>
        <v>CORPORACION INSTITUTO COLOMBIANO DE CUALIFICACION EMPRESARIAL - CICCE</v>
      </c>
      <c r="C4" s="11" t="s">
        <v>109</v>
      </c>
      <c r="D4" s="11" t="str">
        <f>+Oferta_2_Cualificacion_E!$B$7</f>
        <v>EVALUADO</v>
      </c>
      <c r="E4" s="33">
        <f>+Oferta_2_Cualificacion_E!$G$18</f>
        <v>30.5</v>
      </c>
      <c r="F4" s="33">
        <f>+Oferta_2_Cualificacion_E!$G$21</f>
        <v>16.301369863013697</v>
      </c>
      <c r="G4" s="33">
        <f>+Oferta_2_Cualificacion_E!$G$23</f>
        <v>0</v>
      </c>
      <c r="H4" s="33">
        <f>+Oferta_2_Cualificacion_E!$G$26</f>
        <v>0.25</v>
      </c>
      <c r="I4" s="32">
        <f>+Oferta_2_Cualificacion_E!B8</f>
        <v>47.051369863013697</v>
      </c>
      <c r="J4" s="52">
        <v>3</v>
      </c>
      <c r="K4" s="25">
        <f>+Oferta_2_Cualificacion_E!$B$2</f>
        <v>2</v>
      </c>
      <c r="L4" s="25" t="s">
        <v>170</v>
      </c>
      <c r="M4" s="25" t="str">
        <f t="shared" ref="M4:M7" si="0">+J4&amp;"."&amp;K4</f>
        <v>3.2</v>
      </c>
      <c r="N4" s="103">
        <f>+Oferta_2_Cualificacion_E!$H$22</f>
        <v>59</v>
      </c>
    </row>
    <row r="5" spans="2:14">
      <c r="B5" s="11" t="str">
        <f>+VLOOKUP($C5,Medidas!$A$3:$B$7,2,0)</f>
        <v>FUNDACIÓN UNIVERSITARIA EMPRESARIAL DE LA CÁMARA DE COMERCIO DE BOGOTÁ – UNIEMPRESARIAL</v>
      </c>
      <c r="C5" s="11" t="s">
        <v>110</v>
      </c>
      <c r="D5" s="11" t="str">
        <f>+Oferta_3_Fun_CCB!$B$7</f>
        <v>EVALUADO</v>
      </c>
      <c r="E5" s="33">
        <f>Oferta_3_Fun_CCB!$G$18</f>
        <v>30.5</v>
      </c>
      <c r="F5" s="33">
        <f>+Oferta_3_Fun_CCB!$G$21</f>
        <v>15.217702663993125</v>
      </c>
      <c r="G5" s="33">
        <f>+Oferta_3_Fun_CCB!$G$23</f>
        <v>0.57192374350086661</v>
      </c>
      <c r="H5" s="33">
        <f>+Oferta_3_Fun_CCB!$G$26</f>
        <v>0.25</v>
      </c>
      <c r="I5" s="32">
        <f>+Oferta_3_Fun_CCB!B8</f>
        <v>46.539626407493991</v>
      </c>
      <c r="J5" s="99">
        <v>4</v>
      </c>
      <c r="K5" s="25">
        <f>+Oferta_3_Fun_CCB!$B$2</f>
        <v>2</v>
      </c>
      <c r="L5" s="25" t="s">
        <v>173</v>
      </c>
      <c r="M5" s="25" t="str">
        <f t="shared" si="0"/>
        <v>4.2</v>
      </c>
      <c r="N5" s="103">
        <f>+Oferta_3_Fun_CCB!$H$22</f>
        <v>55</v>
      </c>
    </row>
    <row r="6" spans="2:14">
      <c r="B6" s="11" t="str">
        <f>+VLOOKUP($C6,Medidas!$A$3:$B$7,2,0)</f>
        <v>GESTIÓN TOTAL CORPORATIVA SAS BIC</v>
      </c>
      <c r="C6" s="11" t="s">
        <v>111</v>
      </c>
      <c r="D6" s="11" t="str">
        <f>+Oferta_4_Gestion_Total!$B$7</f>
        <v>EVALUADO</v>
      </c>
      <c r="E6" s="33">
        <f>+Oferta_4_Gestion_Total!$G$18</f>
        <v>30.5</v>
      </c>
      <c r="F6" s="33">
        <f>+Oferta_4_Gestion_Total!$G$21</f>
        <v>15.490048780463253</v>
      </c>
      <c r="G6" s="33">
        <f>+Oferta_4_Gestion_Total!$G$23</f>
        <v>2.5372616984402079</v>
      </c>
      <c r="H6" s="33">
        <f>+Oferta_4_Gestion_Total!$G$26</f>
        <v>0.5</v>
      </c>
      <c r="I6" s="32">
        <f>+Oferta_4_Gestion_Total!B8</f>
        <v>49.027310478903459</v>
      </c>
      <c r="J6" s="99">
        <v>2</v>
      </c>
      <c r="K6" s="25">
        <f>+Oferta_4_Gestion_Total!$B$2</f>
        <v>2</v>
      </c>
      <c r="L6" s="25" t="s">
        <v>170</v>
      </c>
      <c r="M6" s="25" t="str">
        <f t="shared" si="0"/>
        <v>2.2</v>
      </c>
      <c r="N6" s="103">
        <f>+Oferta_4_Gestion_Total!$H$22</f>
        <v>56</v>
      </c>
    </row>
    <row r="7" spans="2:14">
      <c r="B7" s="11" t="str">
        <f>+VLOOKUP($C7,Medidas!$A$3:$B$7,2,0)</f>
        <v>INSTITUTO COLOMBIANO DE APRENDIZAJE (INCAP) SAS</v>
      </c>
      <c r="C7" s="11" t="s">
        <v>112</v>
      </c>
      <c r="D7" s="11" t="str">
        <f>+Oferta_5_Incap!$B$7</f>
        <v>EVALUADO</v>
      </c>
      <c r="E7" s="33">
        <f>+Oferta_5_Incap!$G$18</f>
        <v>30.5</v>
      </c>
      <c r="F7" s="33">
        <f>+Oferta_5_Incap!$G$21</f>
        <v>17.575384615384614</v>
      </c>
      <c r="G7" s="33">
        <f>+Oferta_5_Incap!$G$23</f>
        <v>48</v>
      </c>
      <c r="H7" s="33">
        <f>+Oferta_5_Incap!$G$26</f>
        <v>0.5</v>
      </c>
      <c r="I7" s="32">
        <f>+Oferta_5_Incap!B8</f>
        <v>96.575384615384621</v>
      </c>
      <c r="J7" s="99">
        <v>1</v>
      </c>
      <c r="K7" s="25">
        <f>+Oferta_5_Incap!$B$2</f>
        <v>1</v>
      </c>
      <c r="L7" s="25" t="s">
        <v>170</v>
      </c>
      <c r="M7" s="25" t="str">
        <f t="shared" si="0"/>
        <v>1.1</v>
      </c>
      <c r="N7" s="103">
        <f>+Oferta_5_Incap!$H$22</f>
        <v>64</v>
      </c>
    </row>
    <row r="8" spans="2:14">
      <c r="B8" t="s">
        <v>172</v>
      </c>
    </row>
  </sheetData>
  <sheetProtection algorithmName="SHA-512" hashValue="My6M2XN0jCG98DU0SsWMaaIfCwu3ocz0WB6PgeyU50M08hPx522HVblYCcxbn82/iPza7ipQy55qWtRGRE32Uw==" saltValue="fRUCZyqfilNr24AhLiDBcg==" spinCount="100000" sheet="1" formatCells="0" formatColumns="0" formatRows="0" insertColumns="0" insertRows="0" insertHyperlinks="0" deleteColumns="0" deleteRows="0" sort="0" autoFilter="0" pivotTables="0"/>
  <autoFilter ref="B2:M7" xr:uid="{890514A8-9383-984D-8B00-BA7ADFB2AE98}"/>
  <phoneticPr fontId="2" type="noConversion"/>
  <printOptions horizontalCentered="1"/>
  <pageMargins left="0.7" right="0.7" top="0.75" bottom="0.75" header="0.3" footer="0.3"/>
  <pageSetup paperSize="5" scale="4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A819C-B54D-3749-B830-21801313C6BE}">
  <dimension ref="A1"/>
  <sheetViews>
    <sheetView workbookViewId="0"/>
  </sheetViews>
  <sheetFormatPr baseColWidth="10" defaultColWidth="11" defaultRowHeight="16"/>
  <sheetData>
    <row r="1" spans="1:1">
      <c r="A1" t="s">
        <v>123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E84DE-E1DF-F845-85CB-051E3476C90B}">
  <dimension ref="A2:F29"/>
  <sheetViews>
    <sheetView workbookViewId="0">
      <selection activeCell="F28" sqref="F28"/>
    </sheetView>
  </sheetViews>
  <sheetFormatPr baseColWidth="10" defaultColWidth="11" defaultRowHeight="16"/>
  <cols>
    <col min="1" max="1" width="14.5" customWidth="1"/>
    <col min="2" max="2" width="47.33203125" bestFit="1" customWidth="1"/>
  </cols>
  <sheetData>
    <row r="2" spans="1:6">
      <c r="A2" s="4" t="s">
        <v>124</v>
      </c>
      <c r="B2" t="s">
        <v>125</v>
      </c>
      <c r="C2" s="4" t="s">
        <v>126</v>
      </c>
      <c r="F2">
        <v>1</v>
      </c>
    </row>
    <row r="3" spans="1:6">
      <c r="A3" s="1" t="s">
        <v>48</v>
      </c>
      <c r="B3" s="2" t="s">
        <v>49</v>
      </c>
      <c r="C3">
        <v>15</v>
      </c>
      <c r="F3">
        <v>2</v>
      </c>
    </row>
    <row r="4" spans="1:6">
      <c r="A4" s="1" t="s">
        <v>52</v>
      </c>
      <c r="B4" s="2" t="s">
        <v>53</v>
      </c>
      <c r="C4">
        <v>30.5</v>
      </c>
      <c r="F4">
        <v>3</v>
      </c>
    </row>
    <row r="5" spans="1:6">
      <c r="A5" s="1"/>
      <c r="B5" s="2"/>
    </row>
    <row r="6" spans="1:6">
      <c r="A6" s="4" t="s">
        <v>127</v>
      </c>
      <c r="B6" s="3" t="s">
        <v>128</v>
      </c>
    </row>
    <row r="7" spans="1:6">
      <c r="A7" s="1" t="s">
        <v>59</v>
      </c>
      <c r="B7" s="12" t="s">
        <v>29</v>
      </c>
      <c r="C7">
        <v>21</v>
      </c>
    </row>
    <row r="9" spans="1:6">
      <c r="A9" s="4" t="s">
        <v>129</v>
      </c>
      <c r="B9" s="3" t="s">
        <v>130</v>
      </c>
    </row>
    <row r="10" spans="1:6">
      <c r="A10" s="4"/>
      <c r="B10" s="12" t="s">
        <v>103</v>
      </c>
      <c r="C10">
        <v>48</v>
      </c>
    </row>
    <row r="12" spans="1:6">
      <c r="A12" s="4" t="s">
        <v>131</v>
      </c>
      <c r="B12" s="3" t="s">
        <v>70</v>
      </c>
    </row>
    <row r="13" spans="1:6">
      <c r="A13" s="1" t="s">
        <v>71</v>
      </c>
      <c r="B13" s="1" t="s">
        <v>132</v>
      </c>
      <c r="C13">
        <v>0.25</v>
      </c>
    </row>
    <row r="14" spans="1:6">
      <c r="A14" s="1" t="s">
        <v>74</v>
      </c>
      <c r="B14" s="1" t="s">
        <v>133</v>
      </c>
      <c r="C14">
        <v>0.25</v>
      </c>
    </row>
    <row r="16" spans="1:6">
      <c r="A16" t="s">
        <v>24</v>
      </c>
    </row>
    <row r="17" spans="1:2">
      <c r="A17" t="s">
        <v>39</v>
      </c>
    </row>
    <row r="18" spans="1:2">
      <c r="A18" t="s">
        <v>134</v>
      </c>
    </row>
    <row r="20" spans="1:2">
      <c r="A20" t="s">
        <v>11</v>
      </c>
    </row>
    <row r="21" spans="1:2">
      <c r="A21" t="s">
        <v>134</v>
      </c>
    </row>
    <row r="24" spans="1:2">
      <c r="A24" t="s">
        <v>134</v>
      </c>
    </row>
    <row r="25" spans="1:2">
      <c r="A25" t="s">
        <v>135</v>
      </c>
    </row>
    <row r="28" spans="1:2" ht="68">
      <c r="A28" s="47" t="s">
        <v>136</v>
      </c>
      <c r="B28" s="6">
        <v>1182500</v>
      </c>
    </row>
    <row r="29" spans="1:2" ht="17">
      <c r="A29" s="55" t="s">
        <v>137</v>
      </c>
      <c r="B29" s="6">
        <v>65000000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7A60C55BB91C54CBF9944EC52ABE473" ma:contentTypeVersion="17" ma:contentTypeDescription="Create a new document." ma:contentTypeScope="" ma:versionID="758bf7a8382fd09e85c4b55cb6dbaaba">
  <xsd:schema xmlns:xsd="http://www.w3.org/2001/XMLSchema" xmlns:xs="http://www.w3.org/2001/XMLSchema" xmlns:p="http://schemas.microsoft.com/office/2006/metadata/properties" xmlns:ns2="dca0c8df-5a4f-4cf2-9904-35ead706d706" xmlns:ns3="088e3bd2-b56c-43a0-b8a9-e0fb12425dda" targetNamespace="http://schemas.microsoft.com/office/2006/metadata/properties" ma:root="true" ma:fieldsID="02a28f1d3308765fb9c49a9f276b6a43" ns2:_="" ns3:_="">
    <xsd:import namespace="dca0c8df-5a4f-4cf2-9904-35ead706d706"/>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Detall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a0c8df-5a4f-4cf2-9904-35ead706d7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Location" ma:index="14" nillable="true" ma:displayName="Location" ma:indexed="true"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Detalle" ma:index="23" nillable="true" ma:displayName="Detalle " ma:format="Dropdown" ma:internalName="Detalle">
      <xsd:simpleType>
        <xsd:restriction base="dms:Text">
          <xsd:maxLength value="255"/>
        </xsd:restrictio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Detalle xmlns="dca0c8df-5a4f-4cf2-9904-35ead706d706" xsi:nil="true"/>
    <lcf76f155ced4ddcb4097134ff3c332f xmlns="dca0c8df-5a4f-4cf2-9904-35ead706d70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FB27EE-7902-4BB4-98BF-875C2A36ADC7}"/>
</file>

<file path=customXml/itemProps2.xml><?xml version="1.0" encoding="utf-8"?>
<ds:datastoreItem xmlns:ds="http://schemas.openxmlformats.org/officeDocument/2006/customXml" ds:itemID="{89978333-A5EB-49AE-B243-E6AA13400D3F}">
  <ds:schemaRefs>
    <ds:schemaRef ds:uri="http://schemas.microsoft.com/sharepoint/v3/contenttype/forms"/>
  </ds:schemaRefs>
</ds:datastoreItem>
</file>

<file path=customXml/itemProps3.xml><?xml version="1.0" encoding="utf-8"?>
<ds:datastoreItem xmlns:ds="http://schemas.openxmlformats.org/officeDocument/2006/customXml" ds:itemID="{74C3FC65-DF62-4B6F-8F23-B702010DD81A}">
  <ds:schemaRefs>
    <ds:schemaRef ds:uri="http://purl.org/dc/dcmitype/"/>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http://schemas.microsoft.com/office/2006/metadata/properties"/>
    <ds:schemaRef ds:uri="http://purl.org/dc/elements/1.1/"/>
    <ds:schemaRef ds:uri="088e3bd2-b56c-43a0-b8a9-e0fb12425dda"/>
    <ds:schemaRef ds:uri="dca0c8df-5a4f-4cf2-9904-35ead706d70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Oferta_1_Indoamericana</vt:lpstr>
      <vt:lpstr>Oferta_2_Cualificacion_E</vt:lpstr>
      <vt:lpstr>Oferta_3_Fun_CCB</vt:lpstr>
      <vt:lpstr>Oferta_4_Gestion_Total</vt:lpstr>
      <vt:lpstr>Oferta_5_Incap</vt:lpstr>
      <vt:lpstr>Medidas</vt:lpstr>
      <vt:lpstr>Resumen_resultados</vt:lpstr>
      <vt:lpstr>Hoja1</vt:lpstr>
      <vt:lpstr>Datos</vt:lpstr>
      <vt:lpstr>Medidas!Área_de_impresión</vt:lpstr>
      <vt:lpstr>Oferta_4_Gestion_Total!Área_de_impresión</vt:lpstr>
      <vt:lpstr>Resumen_resultados!Área_de_impresión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Leonardo Orjuela Calderon</dc:creator>
  <cp:keywords/>
  <dc:description/>
  <cp:lastModifiedBy>David Leonardo Orjuela Calderón</cp:lastModifiedBy>
  <cp:revision/>
  <cp:lastPrinted>2026-03-31T22:06:12Z</cp:lastPrinted>
  <dcterms:created xsi:type="dcterms:W3CDTF">2025-02-25T13:50:49Z</dcterms:created>
  <dcterms:modified xsi:type="dcterms:W3CDTF">2026-04-01T14:20:43Z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0x010100A7A60C55BB91C54CBF9944EC52ABE473</vt:lpwstr>
  </property>
  <property fmtid="{D5CDD505-2E9C-101B-9397-08002B2CF9AE}" pid="3" name="MediaServiceImageTags">
    <vt:lpwstr/>
  </property>
</Properties>
</file>