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hernana\Downloads\"/>
    </mc:Choice>
  </mc:AlternateContent>
  <xr:revisionPtr revIDLastSave="0" documentId="8_{8B86654C-7E96-492E-ABB6-296BD0A92B6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M" sheetId="2" r:id="rId1"/>
    <sheet name="ACTA FINAL NUMERICA " sheetId="3" r:id="rId2"/>
  </sheets>
  <definedNames>
    <definedName name="_xlnm.Print_Area" localSheetId="1">'ACTA FINAL NUMERICA '!$B$3:$O$41</definedName>
    <definedName name="_xlnm.Print_Area" localSheetId="0">FM!$B$1:$D$48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1" i="3" l="1"/>
  <c r="O29" i="3"/>
  <c r="O28" i="3"/>
  <c r="N20" i="3"/>
  <c r="N21" i="3"/>
  <c r="N22" i="3"/>
  <c r="N23" i="3"/>
  <c r="N24" i="3"/>
  <c r="N25" i="3"/>
  <c r="N19" i="3"/>
  <c r="O26" i="3"/>
  <c r="O20" i="3"/>
  <c r="O21" i="3"/>
  <c r="O22" i="3"/>
  <c r="O23" i="3"/>
  <c r="O24" i="3"/>
  <c r="O25" i="3"/>
  <c r="O19" i="3"/>
  <c r="O17" i="3"/>
  <c r="O13" i="3"/>
  <c r="O15" i="3"/>
  <c r="O16" i="3"/>
  <c r="O12" i="3"/>
  <c r="N15" i="3"/>
  <c r="N13" i="3"/>
  <c r="N12" i="3"/>
  <c r="M31" i="3"/>
  <c r="M29" i="3"/>
  <c r="M28" i="3"/>
  <c r="M26" i="3"/>
  <c r="M20" i="3"/>
  <c r="M21" i="3"/>
  <c r="M22" i="3"/>
  <c r="M23" i="3"/>
  <c r="M24" i="3"/>
  <c r="M25" i="3"/>
  <c r="M19" i="3"/>
  <c r="M17" i="3"/>
  <c r="M15" i="3"/>
  <c r="M16" i="3"/>
  <c r="M13" i="3"/>
  <c r="M12" i="3"/>
  <c r="K20" i="3"/>
  <c r="K19" i="3"/>
  <c r="K25" i="3"/>
  <c r="K23" i="3"/>
  <c r="K22" i="3"/>
  <c r="I25" i="3" l="1"/>
  <c r="I24" i="3"/>
  <c r="I26" i="3" s="1"/>
  <c r="I23" i="3"/>
  <c r="I22" i="3"/>
  <c r="I21" i="3"/>
  <c r="K21" i="3" s="1"/>
  <c r="I20" i="3"/>
  <c r="I19" i="3"/>
  <c r="H17" i="3"/>
  <c r="J15" i="3"/>
  <c r="I15" i="3"/>
  <c r="K13" i="3"/>
  <c r="I13" i="3"/>
  <c r="K12" i="3"/>
  <c r="I12" i="3"/>
  <c r="I16" i="3" l="1"/>
  <c r="I17" i="3" s="1"/>
  <c r="I28" i="3" s="1"/>
  <c r="K26" i="3"/>
  <c r="K15" i="3"/>
  <c r="K16" i="3" s="1"/>
  <c r="K17" i="3" s="1"/>
  <c r="K28" i="3" l="1"/>
  <c r="I29" i="3"/>
  <c r="I31" i="3" s="1"/>
  <c r="D33" i="2"/>
  <c r="K29" i="3" l="1"/>
  <c r="K31" i="3" s="1"/>
  <c r="B5" i="2"/>
  <c r="D27" i="2"/>
  <c r="D23" i="2" l="1"/>
  <c r="D20" i="2" l="1"/>
  <c r="D34" i="2" s="1"/>
  <c r="D35" i="2" l="1"/>
</calcChain>
</file>

<file path=xl/sharedStrings.xml><?xml version="1.0" encoding="utf-8"?>
<sst xmlns="http://schemas.openxmlformats.org/spreadsheetml/2006/main" count="135" uniqueCount="120">
  <si>
    <t xml:space="preserve">FACTOR MULTIPLICADOR </t>
  </si>
  <si>
    <t>CONCEPTO</t>
  </si>
  <si>
    <t>PORCENTAJE</t>
  </si>
  <si>
    <t xml:space="preserve">1. </t>
  </si>
  <si>
    <t>SALARIOS Y PRESTACIONES SOCIALES DE PERSONAL FACTURABLE</t>
  </si>
  <si>
    <t>1.1</t>
  </si>
  <si>
    <t>Salarios</t>
  </si>
  <si>
    <t>1.2</t>
  </si>
  <si>
    <t>Prima anual (legal)</t>
  </si>
  <si>
    <t>1.3</t>
  </si>
  <si>
    <t>Cesantías</t>
  </si>
  <si>
    <t>1.4</t>
  </si>
  <si>
    <t>Intereses sobre cesantías</t>
  </si>
  <si>
    <t>1.5</t>
  </si>
  <si>
    <t>Vacaciones</t>
  </si>
  <si>
    <t>1.6</t>
  </si>
  <si>
    <t>Seguridad Social (salud 8,5% + pensión 12%)</t>
  </si>
  <si>
    <t>1.7</t>
  </si>
  <si>
    <t>Caja de Compensación Familiar</t>
  </si>
  <si>
    <t>1.8</t>
  </si>
  <si>
    <t>ARL 6,96%</t>
  </si>
  <si>
    <t>1.9</t>
  </si>
  <si>
    <t>Sena</t>
  </si>
  <si>
    <t>1.10</t>
  </si>
  <si>
    <t>ICBF</t>
  </si>
  <si>
    <t>1.11</t>
  </si>
  <si>
    <t>Otros (Auxilios varios, prestaciones extralegales, Incapacidades no cubiertas, trabajos nocturnos, dominicales y festivos).</t>
  </si>
  <si>
    <t>1.12</t>
  </si>
  <si>
    <t>Dotación</t>
  </si>
  <si>
    <t>SUBTOTAL</t>
  </si>
  <si>
    <t>2.0</t>
  </si>
  <si>
    <t>GASTOS INDIRECTOS</t>
  </si>
  <si>
    <t>2.1</t>
  </si>
  <si>
    <t>Gastos de viaje y viáticos</t>
  </si>
  <si>
    <t>3.0</t>
  </si>
  <si>
    <t>GASTOS GENERALES</t>
  </si>
  <si>
    <t>3.1</t>
  </si>
  <si>
    <t>Equipos y Mantenimiento Oficina (Aseo)</t>
  </si>
  <si>
    <t>3.2</t>
  </si>
  <si>
    <t>Plan de Manejo Ambiental</t>
  </si>
  <si>
    <t>4.0</t>
  </si>
  <si>
    <t>COSTOS DIRECTOS NO REEMBOLSABLES</t>
  </si>
  <si>
    <t>4.1</t>
  </si>
  <si>
    <t>Poliza de Calidad</t>
  </si>
  <si>
    <t>Poliza de Cumplimiento</t>
  </si>
  <si>
    <t>4.3</t>
  </si>
  <si>
    <t>Póliza Salarios y Prestaciones Sociales</t>
  </si>
  <si>
    <t>5.0</t>
  </si>
  <si>
    <t xml:space="preserve">HONORARIOS </t>
  </si>
  <si>
    <t>TOTAL</t>
  </si>
  <si>
    <t>FACTOR MULTIPLICADOR</t>
  </si>
  <si>
    <t>LA INTERVENTORIA A LAS OBRAS DE ADECUACIONES COMPLEMENTARIAS DE OBRA CIVIL Y ELÉCTRICA EN FOSO ASCENSOR TORRE C PARA SU INSTALACIÓN Y PUESTA EN FUNCIONAMIENTO</t>
  </si>
  <si>
    <t>ITEMS</t>
  </si>
  <si>
    <t>CARGO/OFICIO</t>
  </si>
  <si>
    <t>DISPONIBILIDAD TIEMPO</t>
  </si>
  <si>
    <t xml:space="preserve">SALARIO </t>
  </si>
  <si>
    <t>PARTICIPACION (MES)</t>
  </si>
  <si>
    <t>VALOR PARCIAL</t>
  </si>
  <si>
    <t>1.0</t>
  </si>
  <si>
    <t>PERSONAL PROFESIONAL</t>
  </si>
  <si>
    <t>PERSONAL DE APOYO</t>
  </si>
  <si>
    <t>SECRETARIA ADMINISTRATIVA</t>
  </si>
  <si>
    <t>SUBTOTAL COSTO PERSONAL</t>
  </si>
  <si>
    <t>OTROS COSTOS DIRECTOS</t>
  </si>
  <si>
    <t>PAPELERIA E INFORMES</t>
  </si>
  <si>
    <t>GLB</t>
  </si>
  <si>
    <t xml:space="preserve">ARRIENDO DE OFICINA + SERVICIOS </t>
  </si>
  <si>
    <t>MES</t>
  </si>
  <si>
    <t>PERSONAL PROFESIONAL Y/O TÉCNICO NO FACTURABLE / ASESORIAS (En caso de no utilizarse durante la ejecución este valor se deducirá al finalizar del valor total a pagar).</t>
  </si>
  <si>
    <t>ENSAYOS CONCRETOS (Asentamiento INV E-404)</t>
  </si>
  <si>
    <t>UND</t>
  </si>
  <si>
    <t>ENSAYOS CONCRETOS (Resistencia a la compresión de cilindros de concreto NTC 673)</t>
  </si>
  <si>
    <t>ENSAYOS A LA SOLDADURA EN CUMPLIMIENTO DEL TITULO F DE LA NSR-10</t>
  </si>
  <si>
    <t>(RETEFUENTE, RETE-ICA, ESTAMPILLAS PRO-UNIVERSIDADES, CONTRIBUCION DE OBRA PUBLICA)</t>
  </si>
  <si>
    <t>BASE GRAVABLE (Total Interventoria menos IVA)</t>
  </si>
  <si>
    <t>SUBTOTAL DE COSTOS GENERALES</t>
  </si>
  <si>
    <t>TOTAL, DE COSTOS DIRECTOS</t>
  </si>
  <si>
    <t>IVA</t>
  </si>
  <si>
    <t>COSTO TOTAL DE INTERVENTORIA</t>
  </si>
  <si>
    <r>
      <rPr>
        <b/>
        <sz val="12"/>
        <color rgb="FF000000"/>
        <rFont val="Arial Narrow"/>
        <family val="2"/>
      </rPr>
      <t>DIRECTOR DE INTERVENTORIA</t>
    </r>
    <r>
      <rPr>
        <sz val="12"/>
        <color rgb="FF000000"/>
        <rFont val="Arial Narrow"/>
        <family val="2"/>
      </rPr>
      <t xml:space="preserve">:Matrícula profesional vigente como ingeniero civil especialista en Estructuras.
</t>
    </r>
  </si>
  <si>
    <r>
      <rPr>
        <b/>
        <sz val="12"/>
        <color rgb="FF000000"/>
        <rFont val="Arial Narrow"/>
        <family val="2"/>
      </rPr>
      <t>RESIDENTE DE INTERVENTORIA</t>
    </r>
    <r>
      <rPr>
        <sz val="12"/>
        <color rgb="FF000000"/>
        <rFont val="Arial Narrow"/>
        <family val="2"/>
      </rPr>
      <t xml:space="preserve">: •Matrícula profesional vigente como ingeniero civil.
</t>
    </r>
  </si>
  <si>
    <t xml:space="preserve">MARIA PAULINA VERGARA COBO </t>
  </si>
  <si>
    <t xml:space="preserve">REPRESENTANTE LEGAL </t>
  </si>
  <si>
    <t>VALOR EJECUTADO</t>
  </si>
  <si>
    <t xml:space="preserve">IVA </t>
  </si>
  <si>
    <t xml:space="preserve">TOTAL </t>
  </si>
  <si>
    <t xml:space="preserve">TOTAL A ADICIONAR </t>
  </si>
  <si>
    <t xml:space="preserve">VALOR ACTA 1 </t>
  </si>
  <si>
    <t>CANTIDAD ACTA 1</t>
  </si>
  <si>
    <t xml:space="preserve">TIEMPO ADICIONAL </t>
  </si>
  <si>
    <t xml:space="preserve">CANTIDAD ACTA FINAL </t>
  </si>
  <si>
    <t>TOTAL ACTA FINAL</t>
  </si>
  <si>
    <t xml:space="preserve">ACTA FINAL NUMERICA </t>
  </si>
  <si>
    <t>TOTAL COSTOS DIRECTOS</t>
  </si>
  <si>
    <t xml:space="preserve">TOTAL ACTA 1 </t>
  </si>
  <si>
    <t xml:space="preserve">TOTAL ACTA FINAL </t>
  </si>
  <si>
    <t>EDGAR FARID VERGARA PEREZ</t>
  </si>
  <si>
    <t xml:space="preserve">SUPERVISOR </t>
  </si>
  <si>
    <t xml:space="preserve">VALOR INICIAL </t>
  </si>
  <si>
    <t>VALOR ADICIONAL</t>
  </si>
  <si>
    <t>VALOR TOTAL DEL CONTRATO</t>
  </si>
  <si>
    <t>FECHA DE INICIO</t>
  </si>
  <si>
    <t xml:space="preserve">CONTRATISTA </t>
  </si>
  <si>
    <t>PRORROGA 2</t>
  </si>
  <si>
    <t>DIECINUEVE MILLONES DOSCIENTOS CINCO MIL NOVECIENTOS SETENTA Y CINCO MIL PESOS M/CTE ($19.205.975)</t>
  </si>
  <si>
    <t>NUEVE MILLONES TRESCIENTOS NOVENTA Y SIETE MIL SEISCIENTOS VEINTISIETE PESOS CON SESENTA Y DOS CENTAVOS MONEDA CORRIENTE (M/CTE). ($9.397.627,62.).</t>
  </si>
  <si>
    <t>VEINTIOCHO MILLONES SEISCIENTOS TRES MIL SEISCIENTOS DOS CON SESENTA Y DOS M/CTE ($28.603.602,62)</t>
  </si>
  <si>
    <t>INGENIERIA Y LABORATORIOS DE SUCRE 56 S.A.S NIT. 901.881.026 - 9</t>
  </si>
  <si>
    <t>FECHA DEL ACTA</t>
  </si>
  <si>
    <t xml:space="preserve"> PRORROGA 3- FECHA FINAL </t>
  </si>
  <si>
    <t>PRORROGA 1</t>
  </si>
  <si>
    <t>PRORROGA 3</t>
  </si>
  <si>
    <t>18 DE SEPTIEMBRE DE 2025</t>
  </si>
  <si>
    <t>1 MES</t>
  </si>
  <si>
    <t xml:space="preserve">8 DIAS </t>
  </si>
  <si>
    <t xml:space="preserve">7 DIAS </t>
  </si>
  <si>
    <t>6 DE FEBRERO DE 2026</t>
  </si>
  <si>
    <t xml:space="preserve">APOYO A LA SUPERVISION </t>
  </si>
  <si>
    <t xml:space="preserve">FRANCY LORENA HERMANDEZ ARRIETA </t>
  </si>
  <si>
    <t>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</si>
</sst>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164" formatCode="0.0%"/>
  </numFmts>
  <fonts count="20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color rgb="FF000000"/>
      <name val="Arial Narrow"/>
      <family val="2"/>
    </font>
    <font>
      <b/>
      <sz val="16"/>
      <color rgb="FF000000"/>
      <name val="Arial Narrow"/>
      <family val="2"/>
    </font>
    <font>
      <sz val="11"/>
      <color rgb="FF000000"/>
      <name val="Calibri"/>
      <family val="2"/>
      <charset val="204"/>
    </font>
    <font>
      <sz val="14"/>
      <color rgb="FF000000"/>
      <name val="Arial Narrow"/>
      <family val="2"/>
    </font>
    <font>
      <sz val="16"/>
      <color rgb="FF000000"/>
      <name val="Arial Narrow"/>
      <family val="2"/>
    </font>
    <font>
      <sz val="12"/>
      <color rgb="FF000000"/>
      <name val="Arial Narrow"/>
      <family val="2"/>
    </font>
    <font>
      <sz val="11"/>
      <color rgb="FF242424"/>
      <name val="Aptos Narrow"/>
      <family val="2"/>
    </font>
    <font>
      <sz val="12"/>
      <color rgb="FF140F18"/>
      <name val="Arial"/>
      <family val="2"/>
    </font>
    <font>
      <b/>
      <sz val="12"/>
      <color theme="1"/>
      <name val="Calibri Light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entury Gothic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1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0" fontId="10" fillId="0" borderId="0"/>
  </cellStyleXfs>
  <cellXfs count="184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8" fontId="2" fillId="2" borderId="5" xfId="0" applyNumberFormat="1" applyFont="1" applyFill="1" applyBorder="1" applyAlignment="1">
      <alignment horizontal="center" vertical="center"/>
    </xf>
    <xf numFmtId="0" fontId="6" fillId="0" borderId="17" xfId="2" applyFont="1" applyBorder="1"/>
    <xf numFmtId="0" fontId="5" fillId="3" borderId="17" xfId="2" applyFont="1" applyFill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9" xfId="2" applyFont="1" applyBorder="1" applyAlignment="1">
      <alignment wrapText="1"/>
    </xf>
    <xf numFmtId="10" fontId="6" fillId="0" borderId="18" xfId="2" applyNumberFormat="1" applyFont="1" applyBorder="1" applyAlignment="1">
      <alignment wrapText="1"/>
    </xf>
    <xf numFmtId="10" fontId="6" fillId="0" borderId="17" xfId="2" applyNumberFormat="1" applyFont="1" applyBorder="1" applyAlignment="1">
      <alignment horizontal="right"/>
    </xf>
    <xf numFmtId="10" fontId="6" fillId="0" borderId="18" xfId="3" applyNumberFormat="1" applyFont="1" applyFill="1" applyBorder="1" applyAlignment="1">
      <alignment wrapText="1"/>
    </xf>
    <xf numFmtId="0" fontId="6" fillId="0" borderId="17" xfId="2" applyFont="1" applyBorder="1" applyAlignment="1">
      <alignment horizontal="right" vertical="center"/>
    </xf>
    <xf numFmtId="0" fontId="6" fillId="0" borderId="9" xfId="2" applyFont="1" applyBorder="1" applyAlignment="1">
      <alignment horizontal="left" vertical="center" wrapText="1"/>
    </xf>
    <xf numFmtId="0" fontId="5" fillId="0" borderId="9" xfId="2" applyFont="1" applyBorder="1" applyAlignment="1">
      <alignment wrapText="1"/>
    </xf>
    <xf numFmtId="10" fontId="5" fillId="0" borderId="18" xfId="2" applyNumberFormat="1" applyFont="1" applyBorder="1" applyAlignment="1">
      <alignment wrapText="1"/>
    </xf>
    <xf numFmtId="0" fontId="5" fillId="3" borderId="9" xfId="2" applyFont="1" applyFill="1" applyBorder="1" applyAlignment="1">
      <alignment horizontal="left" vertical="center" wrapText="1"/>
    </xf>
    <xf numFmtId="0" fontId="6" fillId="3" borderId="18" xfId="2" applyFont="1" applyFill="1" applyBorder="1" applyAlignment="1">
      <alignment horizontal="left" vertical="center" wrapText="1"/>
    </xf>
    <xf numFmtId="0" fontId="6" fillId="0" borderId="9" xfId="2" applyFont="1" applyBorder="1" applyAlignment="1">
      <alignment vertical="center" wrapText="1"/>
    </xf>
    <xf numFmtId="10" fontId="6" fillId="0" borderId="18" xfId="2" applyNumberFormat="1" applyFont="1" applyBorder="1" applyAlignment="1">
      <alignment vertical="center" wrapText="1"/>
    </xf>
    <xf numFmtId="0" fontId="5" fillId="3" borderId="17" xfId="2" applyFont="1" applyFill="1" applyBorder="1" applyAlignment="1">
      <alignment horizontal="right" vertical="center"/>
    </xf>
    <xf numFmtId="0" fontId="5" fillId="3" borderId="23" xfId="2" applyFont="1" applyFill="1" applyBorder="1"/>
    <xf numFmtId="0" fontId="5" fillId="3" borderId="24" xfId="2" applyFont="1" applyFill="1" applyBorder="1"/>
    <xf numFmtId="0" fontId="1" fillId="2" borderId="5" xfId="0" applyFont="1" applyFill="1" applyBorder="1" applyAlignment="1">
      <alignment horizontal="center" vertical="center" wrapText="1"/>
    </xf>
    <xf numFmtId="10" fontId="6" fillId="0" borderId="18" xfId="2" applyNumberFormat="1" applyFont="1" applyBorder="1" applyAlignment="1">
      <alignment horizontal="right" vertical="center" wrapText="1"/>
    </xf>
    <xf numFmtId="8" fontId="0" fillId="0" borderId="0" xfId="0" applyNumberFormat="1"/>
    <xf numFmtId="10" fontId="0" fillId="0" borderId="0" xfId="0" applyNumberFormat="1"/>
    <xf numFmtId="2" fontId="7" fillId="0" borderId="16" xfId="1" applyNumberFormat="1" applyFont="1" applyBorder="1" applyAlignment="1">
      <alignment vertical="center"/>
    </xf>
    <xf numFmtId="10" fontId="5" fillId="3" borderId="25" xfId="2" applyNumberFormat="1" applyFont="1" applyFill="1" applyBorder="1"/>
    <xf numFmtId="10" fontId="6" fillId="3" borderId="18" xfId="2" applyNumberFormat="1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8" fontId="9" fillId="2" borderId="7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6" fontId="9" fillId="2" borderId="5" xfId="0" applyNumberFormat="1" applyFont="1" applyFill="1" applyBorder="1" applyAlignment="1">
      <alignment horizontal="center" vertical="center"/>
    </xf>
    <xf numFmtId="9" fontId="11" fillId="2" borderId="5" xfId="0" applyNumberFormat="1" applyFont="1" applyFill="1" applyBorder="1" applyAlignment="1">
      <alignment horizontal="center" vertical="center"/>
    </xf>
    <xf numFmtId="9" fontId="8" fillId="2" borderId="5" xfId="0" applyNumberFormat="1" applyFont="1" applyFill="1" applyBorder="1" applyAlignment="1">
      <alignment horizontal="center" vertical="center" wrapText="1"/>
    </xf>
    <xf numFmtId="10" fontId="2" fillId="2" borderId="5" xfId="0" applyNumberFormat="1" applyFont="1" applyFill="1" applyBorder="1" applyAlignment="1">
      <alignment horizontal="center" vertical="center"/>
    </xf>
    <xf numFmtId="0" fontId="5" fillId="0" borderId="9" xfId="2" applyFont="1" applyBorder="1" applyAlignment="1">
      <alignment horizontal="center"/>
    </xf>
    <xf numFmtId="0" fontId="5" fillId="0" borderId="18" xfId="2" applyFont="1" applyBorder="1" applyAlignment="1">
      <alignment horizontal="center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8" fontId="2" fillId="2" borderId="28" xfId="0" applyNumberFormat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8" fontId="8" fillId="2" borderId="2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/>
    </xf>
    <xf numFmtId="8" fontId="17" fillId="0" borderId="1" xfId="0" applyNumberFormat="1" applyFont="1" applyBorder="1" applyAlignment="1">
      <alignment horizontal="center"/>
    </xf>
    <xf numFmtId="44" fontId="0" fillId="0" borderId="0" xfId="4" applyFont="1"/>
    <xf numFmtId="44" fontId="0" fillId="0" borderId="0" xfId="0" applyNumberFormat="1"/>
    <xf numFmtId="8" fontId="17" fillId="0" borderId="10" xfId="0" applyNumberFormat="1" applyFont="1" applyBorder="1" applyAlignment="1">
      <alignment horizontal="center"/>
    </xf>
    <xf numFmtId="8" fontId="8" fillId="2" borderId="10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18" fillId="0" borderId="0" xfId="0" applyNumberFormat="1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17" fillId="0" borderId="0" xfId="0" applyNumberFormat="1" applyFont="1"/>
    <xf numFmtId="8" fontId="18" fillId="0" borderId="0" xfId="0" applyNumberFormat="1" applyFont="1" applyAlignment="1">
      <alignment vertical="center"/>
    </xf>
    <xf numFmtId="8" fontId="9" fillId="2" borderId="10" xfId="0" applyNumberFormat="1" applyFont="1" applyFill="1" applyBorder="1" applyAlignment="1">
      <alignment horizontal="center" vertical="center"/>
    </xf>
    <xf numFmtId="6" fontId="9" fillId="2" borderId="10" xfId="0" applyNumberFormat="1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 wrapText="1"/>
    </xf>
    <xf numFmtId="8" fontId="8" fillId="2" borderId="4" xfId="0" applyNumberFormat="1" applyFont="1" applyFill="1" applyBorder="1" applyAlignment="1">
      <alignment horizontal="center" vertical="center"/>
    </xf>
    <xf numFmtId="0" fontId="0" fillId="0" borderId="10" xfId="0" applyBorder="1"/>
    <xf numFmtId="8" fontId="8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2" fillId="2" borderId="3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8" fontId="2" fillId="2" borderId="2" xfId="0" applyNumberFormat="1" applyFont="1" applyFill="1" applyBorder="1" applyAlignment="1">
      <alignment horizontal="center" vertical="center"/>
    </xf>
    <xf numFmtId="8" fontId="2" fillId="2" borderId="0" xfId="0" applyNumberFormat="1" applyFont="1" applyFill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8" fontId="2" fillId="2" borderId="7" xfId="0" applyNumberFormat="1" applyFont="1" applyFill="1" applyBorder="1" applyAlignment="1">
      <alignment horizontal="center" vertical="center"/>
    </xf>
    <xf numFmtId="8" fontId="11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33" xfId="0" applyBorder="1"/>
    <xf numFmtId="8" fontId="0" fillId="0" borderId="10" xfId="0" applyNumberFormat="1" applyBorder="1"/>
    <xf numFmtId="0" fontId="0" fillId="0" borderId="40" xfId="0" applyBorder="1"/>
    <xf numFmtId="8" fontId="0" fillId="0" borderId="2" xfId="0" applyNumberFormat="1" applyBorder="1" applyAlignment="1">
      <alignment vertical="center"/>
    </xf>
    <xf numFmtId="8" fontId="0" fillId="0" borderId="2" xfId="0" applyNumberFormat="1" applyBorder="1" applyAlignment="1">
      <alignment horizontal="right" vertical="center"/>
    </xf>
    <xf numFmtId="8" fontId="0" fillId="0" borderId="41" xfId="0" applyNumberFormat="1" applyBorder="1" applyAlignment="1">
      <alignment horizontal="right" vertical="center"/>
    </xf>
    <xf numFmtId="0" fontId="0" fillId="0" borderId="10" xfId="0" applyBorder="1" applyAlignment="1">
      <alignment horizontal="center"/>
    </xf>
    <xf numFmtId="8" fontId="0" fillId="0" borderId="10" xfId="0" applyNumberFormat="1" applyBorder="1" applyAlignment="1">
      <alignment horizontal="center" vertical="center"/>
    </xf>
    <xf numFmtId="8" fontId="11" fillId="2" borderId="10" xfId="0" applyNumberFormat="1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44" fontId="0" fillId="0" borderId="4" xfId="4" applyFont="1" applyBorder="1" applyAlignment="1">
      <alignment horizontal="center" vertical="center"/>
    </xf>
    <xf numFmtId="44" fontId="0" fillId="0" borderId="4" xfId="4" applyFont="1" applyBorder="1" applyAlignment="1">
      <alignment horizontal="left" vertical="center"/>
    </xf>
    <xf numFmtId="164" fontId="13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8" fontId="0" fillId="0" borderId="4" xfId="0" applyNumberFormat="1" applyBorder="1"/>
    <xf numFmtId="0" fontId="0" fillId="0" borderId="33" xfId="0" applyBorder="1" applyAlignment="1">
      <alignment horizontal="center" vertical="center"/>
    </xf>
    <xf numFmtId="8" fontId="0" fillId="0" borderId="33" xfId="0" applyNumberFormat="1" applyBorder="1" applyAlignment="1">
      <alignment horizontal="center" vertical="center"/>
    </xf>
    <xf numFmtId="8" fontId="0" fillId="0" borderId="0" xfId="0" applyNumberFormat="1" applyAlignment="1">
      <alignment horizontal="right" vertical="center"/>
    </xf>
    <xf numFmtId="8" fontId="0" fillId="0" borderId="33" xfId="0" applyNumberFormat="1" applyBorder="1"/>
    <xf numFmtId="0" fontId="0" fillId="0" borderId="33" xfId="0" applyBorder="1" applyAlignment="1">
      <alignment horizontal="center"/>
    </xf>
    <xf numFmtId="8" fontId="2" fillId="2" borderId="10" xfId="0" applyNumberFormat="1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35" xfId="0" applyFont="1" applyFill="1" applyBorder="1" applyAlignment="1">
      <alignment vertical="center" wrapText="1"/>
    </xf>
    <xf numFmtId="0" fontId="1" fillId="2" borderId="3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 wrapText="1"/>
    </xf>
    <xf numFmtId="9" fontId="14" fillId="2" borderId="8" xfId="0" applyNumberFormat="1" applyFont="1" applyFill="1" applyBorder="1" applyAlignment="1">
      <alignment horizontal="center" vertical="center" wrapText="1"/>
    </xf>
    <xf numFmtId="9" fontId="2" fillId="2" borderId="7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9" fontId="2" fillId="2" borderId="37" xfId="0" applyNumberFormat="1" applyFont="1" applyFill="1" applyBorder="1" applyAlignment="1">
      <alignment horizontal="center" vertical="center"/>
    </xf>
    <xf numFmtId="9" fontId="2" fillId="2" borderId="3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/>
    </xf>
    <xf numFmtId="9" fontId="2" fillId="2" borderId="7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" fillId="2" borderId="3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9" fontId="2" fillId="2" borderId="39" xfId="0" applyNumberFormat="1" applyFont="1" applyFill="1" applyBorder="1" applyAlignment="1">
      <alignment horizontal="center" vertical="center"/>
    </xf>
    <xf numFmtId="9" fontId="2" fillId="2" borderId="5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9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3" borderId="9" xfId="2" applyFont="1" applyFill="1" applyBorder="1" applyAlignment="1">
      <alignment horizontal="left" wrapText="1"/>
    </xf>
    <xf numFmtId="0" fontId="5" fillId="3" borderId="18" xfId="2" applyFont="1" applyFill="1" applyBorder="1" applyAlignment="1">
      <alignment horizontal="left" wrapText="1"/>
    </xf>
    <xf numFmtId="0" fontId="5" fillId="3" borderId="22" xfId="2" applyFont="1" applyFill="1" applyBorder="1" applyAlignment="1">
      <alignment horizontal="left" wrapText="1"/>
    </xf>
    <xf numFmtId="0" fontId="5" fillId="3" borderId="21" xfId="2" applyFont="1" applyFill="1" applyBorder="1" applyAlignment="1">
      <alignment horizontal="left" wrapText="1"/>
    </xf>
  </cellXfs>
  <cellStyles count="7">
    <cellStyle name="Millares [0]" xfId="1" builtinId="6"/>
    <cellStyle name="Moneda" xfId="4" builtinId="4"/>
    <cellStyle name="Normal" xfId="0" builtinId="0"/>
    <cellStyle name="Normal 169" xfId="2" xr:uid="{00000000-0005-0000-0000-000002000000}"/>
    <cellStyle name="Normal 3" xfId="5" xr:uid="{485B5ABF-C35D-46D7-80AD-7076CC99F049}"/>
    <cellStyle name="Normal 4" xfId="6" xr:uid="{2D488FE9-EFB7-421F-ACD8-9E2385BF8FBF}"/>
    <cellStyle name="Porcentaje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684680</xdr:colOff>
      <xdr:row>40</xdr:row>
      <xdr:rowOff>177053</xdr:rowOff>
    </xdr:from>
    <xdr:to>
      <xdr:col>2</xdr:col>
      <xdr:colOff>2687731</xdr:colOff>
      <xdr:row>44</xdr:row>
      <xdr:rowOff>161365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46FBB23C-4055-4C39-B90D-B2FFB0AA9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268" y="9298641"/>
          <a:ext cx="2003051" cy="757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1276350</xdr:colOff>
      <xdr:row>33</xdr:row>
      <xdr:rowOff>171450</xdr:rowOff>
    </xdr:from>
    <xdr:to>
      <xdr:col>3</xdr:col>
      <xdr:colOff>3276600</xdr:colOff>
      <xdr:row>37</xdr:row>
      <xdr:rowOff>146958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29B12A23-1B8F-48F8-BBE0-1673DE321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564" y="16622486"/>
          <a:ext cx="2000250" cy="764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952500</xdr:colOff>
      <xdr:row>33</xdr:row>
      <xdr:rowOff>81643</xdr:rowOff>
    </xdr:from>
    <xdr:to>
      <xdr:col>9</xdr:col>
      <xdr:colOff>772205</xdr:colOff>
      <xdr:row>37</xdr:row>
      <xdr:rowOff>34097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B0180B-C384-457F-BFF9-3313515E2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36929" y="17036143"/>
          <a:ext cx="1275669" cy="741668"/>
        </a:xfrm>
        <a:prstGeom prst="rect">
          <a:avLst/>
        </a:prstGeom>
      </xdr:spPr>
    </xdr:pic>
    <xdr:clientData/>
  </xdr:twoCellAnchor>
  <xdr:twoCellAnchor editAs="oneCell">
    <xdr:from>
      <xdr:col>11</xdr:col>
      <xdr:colOff>612320</xdr:colOff>
      <xdr:row>34</xdr:row>
      <xdr:rowOff>83385</xdr:rowOff>
    </xdr:from>
    <xdr:to>
      <xdr:col>12</xdr:col>
      <xdr:colOff>979713</xdr:colOff>
      <xdr:row>40</xdr:row>
      <xdr:rowOff>88745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59CABE3-034E-B451-6776-F28A63F9A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49" y="17228385"/>
          <a:ext cx="1605643" cy="1216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48"/>
  <sheetViews>
    <sheetView view="pageBreakPreview" topLeftCell="A6" zoomScale="86" zoomScaleNormal="85" zoomScaleSheetLayoutView="86" workbookViewId="0">
      <selection activeCell="C47" sqref="C47"/>
    </sheetView>
  </sheetViews>
  <sheetFormatPr baseColWidth="10" defaultColWidth="11.42578125" defaultRowHeight="15" x14ac:dyDescent="0.25"/>
  <cols>
    <col min="1" max="1" width="20.28515625" customWidth="1"/>
    <col min="2" max="2" width="7.85546875" customWidth="1"/>
    <col min="3" max="3" width="44.28515625" customWidth="1"/>
    <col min="4" max="4" width="20.28515625" customWidth="1"/>
    <col min="6" max="6" width="13.28515625" bestFit="1" customWidth="1"/>
    <col min="9" max="9" width="14.28515625" customWidth="1"/>
  </cols>
  <sheetData>
    <row r="2" spans="2:4" ht="15.75" thickBot="1" x14ac:dyDescent="0.3"/>
    <row r="3" spans="2:4" x14ac:dyDescent="0.25">
      <c r="B3" s="171" t="s">
        <v>0</v>
      </c>
      <c r="C3" s="172"/>
      <c r="D3" s="173"/>
    </row>
    <row r="4" spans="2:4" ht="6.75" customHeight="1" x14ac:dyDescent="0.25">
      <c r="B4" s="174"/>
      <c r="C4" s="175"/>
      <c r="D4" s="176"/>
    </row>
    <row r="5" spans="2:4" ht="81" customHeight="1" x14ac:dyDescent="0.25">
      <c r="B5" s="177" t="e">
        <f>#REF!</f>
        <v>#REF!</v>
      </c>
      <c r="C5" s="178"/>
      <c r="D5" s="179"/>
    </row>
    <row r="6" spans="2:4" ht="16.5" x14ac:dyDescent="0.3">
      <c r="B6" s="7"/>
      <c r="C6" s="41" t="s">
        <v>1</v>
      </c>
      <c r="D6" s="42" t="s">
        <v>2</v>
      </c>
    </row>
    <row r="7" spans="2:4" ht="16.5" x14ac:dyDescent="0.3">
      <c r="B7" s="8" t="s">
        <v>3</v>
      </c>
      <c r="C7" s="180" t="s">
        <v>4</v>
      </c>
      <c r="D7" s="181"/>
    </row>
    <row r="8" spans="2:4" x14ac:dyDescent="0.25">
      <c r="B8" s="9" t="s">
        <v>5</v>
      </c>
      <c r="C8" s="10" t="s">
        <v>6</v>
      </c>
      <c r="D8" s="11">
        <v>1</v>
      </c>
    </row>
    <row r="9" spans="2:4" x14ac:dyDescent="0.25">
      <c r="B9" s="12" t="s">
        <v>7</v>
      </c>
      <c r="C9" s="10" t="s">
        <v>8</v>
      </c>
      <c r="D9" s="13">
        <v>8.3299999999999999E-2</v>
      </c>
    </row>
    <row r="10" spans="2:4" x14ac:dyDescent="0.25">
      <c r="B10" s="9" t="s">
        <v>9</v>
      </c>
      <c r="C10" s="10" t="s">
        <v>10</v>
      </c>
      <c r="D10" s="13">
        <v>8.3299999999999999E-2</v>
      </c>
    </row>
    <row r="11" spans="2:4" x14ac:dyDescent="0.25">
      <c r="B11" s="12" t="s">
        <v>11</v>
      </c>
      <c r="C11" s="10" t="s">
        <v>12</v>
      </c>
      <c r="D11" s="11">
        <v>0.01</v>
      </c>
    </row>
    <row r="12" spans="2:4" x14ac:dyDescent="0.25">
      <c r="B12" s="9" t="s">
        <v>13</v>
      </c>
      <c r="C12" s="10" t="s">
        <v>14</v>
      </c>
      <c r="D12" s="11">
        <v>4.1700000000000001E-2</v>
      </c>
    </row>
    <row r="13" spans="2:4" x14ac:dyDescent="0.25">
      <c r="B13" s="12" t="s">
        <v>15</v>
      </c>
      <c r="C13" s="10" t="s">
        <v>16</v>
      </c>
      <c r="D13" s="11">
        <v>0.20499999999999999</v>
      </c>
    </row>
    <row r="14" spans="2:4" x14ac:dyDescent="0.25">
      <c r="B14" s="9" t="s">
        <v>17</v>
      </c>
      <c r="C14" s="10" t="s">
        <v>18</v>
      </c>
      <c r="D14" s="11">
        <v>0.04</v>
      </c>
    </row>
    <row r="15" spans="2:4" x14ac:dyDescent="0.25">
      <c r="B15" s="12" t="s">
        <v>19</v>
      </c>
      <c r="C15" s="10" t="s">
        <v>20</v>
      </c>
      <c r="D15" s="11">
        <v>6.9599999999999995E-2</v>
      </c>
    </row>
    <row r="16" spans="2:4" x14ac:dyDescent="0.25">
      <c r="B16" s="9" t="s">
        <v>21</v>
      </c>
      <c r="C16" s="10" t="s">
        <v>22</v>
      </c>
      <c r="D16" s="11">
        <v>0.02</v>
      </c>
    </row>
    <row r="17" spans="2:6" x14ac:dyDescent="0.25">
      <c r="B17" s="12" t="s">
        <v>23</v>
      </c>
      <c r="C17" s="10" t="s">
        <v>24</v>
      </c>
      <c r="D17" s="11">
        <v>0.03</v>
      </c>
    </row>
    <row r="18" spans="2:6" ht="38.25" x14ac:dyDescent="0.25">
      <c r="B18" s="14" t="s">
        <v>25</v>
      </c>
      <c r="C18" s="15" t="s">
        <v>26</v>
      </c>
      <c r="D18" s="26">
        <v>0.11</v>
      </c>
      <c r="F18" s="27"/>
    </row>
    <row r="19" spans="2:6" x14ac:dyDescent="0.25">
      <c r="B19" s="12" t="s">
        <v>27</v>
      </c>
      <c r="C19" s="10" t="s">
        <v>28</v>
      </c>
      <c r="D19" s="11">
        <v>4.2700000000000002E-2</v>
      </c>
    </row>
    <row r="20" spans="2:6" ht="16.5" x14ac:dyDescent="0.3">
      <c r="B20" s="7"/>
      <c r="C20" s="16" t="s">
        <v>29</v>
      </c>
      <c r="D20" s="17">
        <f>SUM(D8:D19)</f>
        <v>1.7356000000000003</v>
      </c>
    </row>
    <row r="21" spans="2:6" ht="16.5" x14ac:dyDescent="0.3">
      <c r="B21" s="8" t="s">
        <v>30</v>
      </c>
      <c r="C21" s="182" t="s">
        <v>31</v>
      </c>
      <c r="D21" s="183"/>
    </row>
    <row r="22" spans="2:6" x14ac:dyDescent="0.25">
      <c r="B22" s="9" t="s">
        <v>32</v>
      </c>
      <c r="C22" s="10" t="s">
        <v>33</v>
      </c>
      <c r="D22" s="11">
        <v>0.05</v>
      </c>
      <c r="F22" s="27"/>
    </row>
    <row r="23" spans="2:6" ht="16.5" x14ac:dyDescent="0.3">
      <c r="B23" s="7"/>
      <c r="C23" s="16" t="s">
        <v>29</v>
      </c>
      <c r="D23" s="17">
        <f>SUM(D22:D22)</f>
        <v>0.05</v>
      </c>
      <c r="F23" s="28"/>
    </row>
    <row r="24" spans="2:6" ht="16.5" x14ac:dyDescent="0.3">
      <c r="B24" s="8" t="s">
        <v>34</v>
      </c>
      <c r="C24" s="180" t="s">
        <v>35</v>
      </c>
      <c r="D24" s="181"/>
    </row>
    <row r="25" spans="2:6" x14ac:dyDescent="0.25">
      <c r="B25" s="9" t="s">
        <v>36</v>
      </c>
      <c r="C25" s="10" t="s">
        <v>37</v>
      </c>
      <c r="D25" s="11">
        <v>0.02</v>
      </c>
    </row>
    <row r="26" spans="2:6" x14ac:dyDescent="0.25">
      <c r="B26" s="9" t="s">
        <v>38</v>
      </c>
      <c r="C26" s="10" t="s">
        <v>39</v>
      </c>
      <c r="D26" s="11">
        <v>2.9399999999999999E-2</v>
      </c>
    </row>
    <row r="27" spans="2:6" ht="16.5" x14ac:dyDescent="0.3">
      <c r="B27" s="7"/>
      <c r="C27" s="16" t="s">
        <v>29</v>
      </c>
      <c r="D27" s="17">
        <f>SUM(D25:D26)</f>
        <v>4.9399999999999999E-2</v>
      </c>
    </row>
    <row r="28" spans="2:6" ht="18" customHeight="1" x14ac:dyDescent="0.25">
      <c r="B28" s="22" t="s">
        <v>40</v>
      </c>
      <c r="C28" s="18" t="s">
        <v>41</v>
      </c>
      <c r="D28" s="19"/>
    </row>
    <row r="29" spans="2:6" x14ac:dyDescent="0.25">
      <c r="B29" s="9" t="s">
        <v>42</v>
      </c>
      <c r="C29" s="10" t="s">
        <v>43</v>
      </c>
      <c r="D29" s="11">
        <v>0.02</v>
      </c>
    </row>
    <row r="30" spans="2:6" x14ac:dyDescent="0.25">
      <c r="B30" s="9">
        <v>4.2</v>
      </c>
      <c r="C30" s="10" t="s">
        <v>44</v>
      </c>
      <c r="D30" s="11">
        <v>0.02</v>
      </c>
    </row>
    <row r="31" spans="2:6" x14ac:dyDescent="0.25">
      <c r="B31" s="9" t="s">
        <v>45</v>
      </c>
      <c r="C31" s="20" t="s">
        <v>46</v>
      </c>
      <c r="D31" s="21">
        <v>0.02</v>
      </c>
    </row>
    <row r="32" spans="2:6" ht="21" customHeight="1" x14ac:dyDescent="0.25">
      <c r="B32" s="22" t="s">
        <v>47</v>
      </c>
      <c r="C32" s="18" t="s">
        <v>48</v>
      </c>
      <c r="D32" s="31">
        <v>0.105</v>
      </c>
      <c r="F32" s="27"/>
    </row>
    <row r="33" spans="2:7" ht="16.5" x14ac:dyDescent="0.3">
      <c r="B33" s="7"/>
      <c r="C33" s="16" t="s">
        <v>29</v>
      </c>
      <c r="D33" s="17">
        <f>D29+D30+D31+D32</f>
        <v>0.16499999999999998</v>
      </c>
      <c r="G33" s="28"/>
    </row>
    <row r="34" spans="2:7" ht="17.25" thickBot="1" x14ac:dyDescent="0.35">
      <c r="B34" s="23"/>
      <c r="C34" s="24" t="s">
        <v>49</v>
      </c>
      <c r="D34" s="30">
        <f>+D20+D23+D27+D33</f>
        <v>2.0000000000000004</v>
      </c>
      <c r="F34" s="28"/>
    </row>
    <row r="35" spans="2:7" ht="25.5" customHeight="1" thickBot="1" x14ac:dyDescent="0.3">
      <c r="B35" s="169" t="s">
        <v>50</v>
      </c>
      <c r="C35" s="170"/>
      <c r="D35" s="29">
        <f>ROUND(D34,0)</f>
        <v>2</v>
      </c>
    </row>
    <row r="42" spans="2:7" x14ac:dyDescent="0.25">
      <c r="C42" s="43"/>
    </row>
    <row r="43" spans="2:7" ht="15.75" x14ac:dyDescent="0.25">
      <c r="C43" s="44"/>
    </row>
    <row r="45" spans="2:7" ht="15.75" x14ac:dyDescent="0.25">
      <c r="C45" s="44"/>
    </row>
    <row r="46" spans="2:7" ht="15.75" x14ac:dyDescent="0.25">
      <c r="C46" s="44"/>
    </row>
    <row r="47" spans="2:7" ht="15.75" x14ac:dyDescent="0.25">
      <c r="C47" s="45" t="s">
        <v>81</v>
      </c>
    </row>
    <row r="48" spans="2:7" ht="15.75" x14ac:dyDescent="0.25">
      <c r="C48" s="45" t="s">
        <v>82</v>
      </c>
    </row>
  </sheetData>
  <mergeCells count="6">
    <mergeCell ref="B35:C35"/>
    <mergeCell ref="B3:D4"/>
    <mergeCell ref="B5:D5"/>
    <mergeCell ref="C7:D7"/>
    <mergeCell ref="C21:D21"/>
    <mergeCell ref="C24:D24"/>
  </mergeCells>
  <pageMargins left="0.7" right="0.7" top="0.75" bottom="0.75" header="0.3" footer="0.3"/>
  <pageSetup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FCA78-DB45-4BA1-99CB-2FFC1AFDF31C}">
  <sheetPr>
    <pageSetUpPr fitToPage="1"/>
  </sheetPr>
  <dimension ref="B2:O40"/>
  <sheetViews>
    <sheetView tabSelected="1" zoomScale="70" zoomScaleNormal="70" workbookViewId="0">
      <selection activeCell="B3" sqref="B3:O41"/>
    </sheetView>
  </sheetViews>
  <sheetFormatPr baseColWidth="10" defaultColWidth="11.42578125" defaultRowHeight="15" x14ac:dyDescent="0.25"/>
  <cols>
    <col min="2" max="2" width="10.28515625" customWidth="1"/>
    <col min="3" max="3" width="13.140625" customWidth="1"/>
    <col min="4" max="4" width="68.7109375" customWidth="1"/>
    <col min="6" max="6" width="10.5703125" customWidth="1"/>
    <col min="7" max="7" width="28.85546875" customWidth="1"/>
    <col min="8" max="8" width="18" customWidth="1"/>
    <col min="9" max="9" width="21.85546875" customWidth="1"/>
    <col min="10" max="10" width="28" customWidth="1"/>
    <col min="11" max="11" width="30.140625" customWidth="1"/>
    <col min="12" max="12" width="18.5703125" customWidth="1"/>
    <col min="13" max="13" width="27.42578125" customWidth="1"/>
    <col min="14" max="14" width="20" customWidth="1"/>
    <col min="15" max="15" width="23.140625" customWidth="1"/>
  </cols>
  <sheetData>
    <row r="2" spans="2:15" ht="15.75" thickBot="1" x14ac:dyDescent="0.3"/>
    <row r="3" spans="2:15" ht="21" thickBot="1" x14ac:dyDescent="0.3">
      <c r="B3" s="130" t="s">
        <v>92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</row>
    <row r="4" spans="2:15" ht="4.5" customHeight="1" thickBot="1" x14ac:dyDescent="0.3">
      <c r="B4" s="138"/>
      <c r="C4" s="139"/>
      <c r="D4" s="139"/>
      <c r="E4" s="139"/>
      <c r="F4" s="139"/>
      <c r="G4" s="139"/>
      <c r="H4" s="139"/>
      <c r="I4" s="140"/>
    </row>
    <row r="5" spans="2:15" ht="54.75" customHeight="1" thickBot="1" x14ac:dyDescent="0.3">
      <c r="B5" s="141" t="s">
        <v>51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3"/>
    </row>
    <row r="6" spans="2:15" ht="48.75" customHeight="1" thickBot="1" x14ac:dyDescent="0.3">
      <c r="B6" s="133" t="s">
        <v>98</v>
      </c>
      <c r="C6" s="134"/>
      <c r="D6" s="109" t="s">
        <v>104</v>
      </c>
      <c r="E6" s="133" t="s">
        <v>100</v>
      </c>
      <c r="F6" s="134"/>
      <c r="G6" s="133" t="s">
        <v>106</v>
      </c>
      <c r="H6" s="135"/>
      <c r="I6" s="134"/>
      <c r="J6" s="107" t="s">
        <v>102</v>
      </c>
      <c r="K6" s="133" t="s">
        <v>107</v>
      </c>
      <c r="L6" s="134"/>
      <c r="M6" s="105" t="s">
        <v>97</v>
      </c>
      <c r="N6" s="133" t="s">
        <v>96</v>
      </c>
      <c r="O6" s="134"/>
    </row>
    <row r="7" spans="2:15" ht="46.5" customHeight="1" thickBot="1" x14ac:dyDescent="0.3">
      <c r="B7" s="144" t="s">
        <v>99</v>
      </c>
      <c r="C7" s="145"/>
      <c r="D7" s="148" t="s">
        <v>105</v>
      </c>
      <c r="E7" s="133" t="s">
        <v>101</v>
      </c>
      <c r="F7" s="134"/>
      <c r="G7" s="133" t="s">
        <v>112</v>
      </c>
      <c r="H7" s="135"/>
      <c r="I7" s="134"/>
      <c r="J7" s="105" t="s">
        <v>103</v>
      </c>
      <c r="K7" s="133" t="s">
        <v>114</v>
      </c>
      <c r="L7" s="135"/>
      <c r="M7" s="106" t="s">
        <v>109</v>
      </c>
      <c r="N7" s="133" t="s">
        <v>116</v>
      </c>
      <c r="O7" s="134"/>
    </row>
    <row r="8" spans="2:15" ht="28.5" customHeight="1" thickBot="1" x14ac:dyDescent="0.3">
      <c r="B8" s="146"/>
      <c r="C8" s="147"/>
      <c r="D8" s="149"/>
      <c r="E8" s="133" t="s">
        <v>110</v>
      </c>
      <c r="F8" s="134"/>
      <c r="G8" s="133" t="s">
        <v>113</v>
      </c>
      <c r="H8" s="135"/>
      <c r="I8" s="134"/>
      <c r="J8" s="105" t="s">
        <v>111</v>
      </c>
      <c r="K8" s="133" t="s">
        <v>115</v>
      </c>
      <c r="L8" s="135"/>
      <c r="M8" s="106" t="s">
        <v>108</v>
      </c>
      <c r="N8" s="133" t="s">
        <v>116</v>
      </c>
      <c r="O8" s="134"/>
    </row>
    <row r="9" spans="2:15" ht="32.25" thickBot="1" x14ac:dyDescent="0.3">
      <c r="B9" s="1" t="s">
        <v>52</v>
      </c>
      <c r="C9" s="136" t="s">
        <v>53</v>
      </c>
      <c r="D9" s="137"/>
      <c r="E9" s="133" t="s">
        <v>54</v>
      </c>
      <c r="F9" s="134"/>
      <c r="G9" s="25" t="s">
        <v>55</v>
      </c>
      <c r="H9" s="25" t="s">
        <v>56</v>
      </c>
      <c r="I9" s="90" t="s">
        <v>57</v>
      </c>
      <c r="J9" s="108" t="s">
        <v>89</v>
      </c>
      <c r="K9" s="49" t="s">
        <v>83</v>
      </c>
      <c r="L9" s="49" t="s">
        <v>88</v>
      </c>
      <c r="M9" s="79" t="s">
        <v>87</v>
      </c>
      <c r="N9" s="49" t="s">
        <v>90</v>
      </c>
      <c r="O9" s="64" t="s">
        <v>91</v>
      </c>
    </row>
    <row r="10" spans="2:15" ht="16.5" thickBot="1" x14ac:dyDescent="0.3">
      <c r="B10" s="3"/>
      <c r="C10" s="158"/>
      <c r="D10" s="157"/>
      <c r="E10" s="158"/>
      <c r="F10" s="157"/>
      <c r="G10" s="4"/>
      <c r="H10" s="4"/>
      <c r="I10" s="47"/>
      <c r="J10" s="66"/>
      <c r="K10" s="66"/>
      <c r="L10" s="66"/>
      <c r="M10" s="68"/>
      <c r="N10" s="66"/>
      <c r="O10" s="66"/>
    </row>
    <row r="11" spans="2:15" ht="16.5" thickBot="1" x14ac:dyDescent="0.3">
      <c r="B11" s="5" t="s">
        <v>58</v>
      </c>
      <c r="C11" s="136" t="s">
        <v>59</v>
      </c>
      <c r="D11" s="153"/>
      <c r="E11" s="153"/>
      <c r="F11" s="153"/>
      <c r="G11" s="153"/>
      <c r="H11" s="71"/>
      <c r="I11" s="78"/>
      <c r="J11" s="66"/>
      <c r="K11" s="66"/>
      <c r="L11" s="66"/>
      <c r="M11" s="68"/>
      <c r="N11" s="66"/>
      <c r="O11" s="66"/>
    </row>
    <row r="12" spans="2:15" ht="87" customHeight="1" thickBot="1" x14ac:dyDescent="0.3">
      <c r="B12" s="3">
        <v>1.1000000000000001</v>
      </c>
      <c r="C12" s="150" t="s">
        <v>79</v>
      </c>
      <c r="D12" s="151"/>
      <c r="E12" s="152">
        <v>0.2</v>
      </c>
      <c r="F12" s="129"/>
      <c r="G12" s="6">
        <v>2000000</v>
      </c>
      <c r="H12" s="71">
        <v>2</v>
      </c>
      <c r="I12" s="72">
        <f>E12*G12*H12</f>
        <v>800000</v>
      </c>
      <c r="J12" s="80">
        <v>1</v>
      </c>
      <c r="K12" s="88">
        <f>J12*E12*G12</f>
        <v>400000</v>
      </c>
      <c r="L12" s="80">
        <v>2</v>
      </c>
      <c r="M12" s="84">
        <f>I12</f>
        <v>800000</v>
      </c>
      <c r="N12" s="80">
        <f>J12</f>
        <v>1</v>
      </c>
      <c r="O12" s="82">
        <f>K12</f>
        <v>400000</v>
      </c>
    </row>
    <row r="13" spans="2:15" ht="85.5" customHeight="1" thickBot="1" x14ac:dyDescent="0.3">
      <c r="B13" s="75">
        <v>1.2</v>
      </c>
      <c r="C13" s="150" t="s">
        <v>80</v>
      </c>
      <c r="D13" s="151"/>
      <c r="E13" s="152">
        <v>1</v>
      </c>
      <c r="F13" s="129"/>
      <c r="G13" s="76">
        <v>1700000</v>
      </c>
      <c r="H13" s="58">
        <v>2</v>
      </c>
      <c r="I13" s="72">
        <f>E13*G13*H13</f>
        <v>3400000</v>
      </c>
      <c r="J13" s="80">
        <v>1</v>
      </c>
      <c r="K13" s="88">
        <f>J13*E13*G13</f>
        <v>1700000</v>
      </c>
      <c r="L13" s="80">
        <v>2</v>
      </c>
      <c r="M13" s="84">
        <f>I13</f>
        <v>3400000</v>
      </c>
      <c r="N13" s="80">
        <f>J13</f>
        <v>1</v>
      </c>
      <c r="O13" s="82">
        <f t="shared" ref="O13:O16" si="0">K13</f>
        <v>1700000</v>
      </c>
    </row>
    <row r="14" spans="2:15" ht="41.25" customHeight="1" thickBot="1" x14ac:dyDescent="0.3">
      <c r="B14" s="5" t="s">
        <v>30</v>
      </c>
      <c r="C14" s="136" t="s">
        <v>60</v>
      </c>
      <c r="D14" s="153"/>
      <c r="E14" s="153"/>
      <c r="F14" s="153"/>
      <c r="G14" s="154"/>
      <c r="H14" s="2"/>
      <c r="I14" s="59"/>
      <c r="J14" s="66"/>
      <c r="K14" s="66"/>
      <c r="L14" s="80"/>
      <c r="M14" s="84"/>
      <c r="N14" s="80"/>
      <c r="O14" s="82"/>
    </row>
    <row r="15" spans="2:15" ht="67.5" customHeight="1" thickBot="1" x14ac:dyDescent="0.3">
      <c r="B15" s="75"/>
      <c r="C15" s="155" t="s">
        <v>61</v>
      </c>
      <c r="D15" s="156"/>
      <c r="E15" s="152">
        <v>0.3</v>
      </c>
      <c r="F15" s="157"/>
      <c r="G15" s="76">
        <v>1623500</v>
      </c>
      <c r="H15" s="58">
        <v>2</v>
      </c>
      <c r="I15" s="72">
        <f>E15*G15*H15</f>
        <v>974100</v>
      </c>
      <c r="J15" s="80">
        <f>J13</f>
        <v>1</v>
      </c>
      <c r="K15" s="88">
        <f>J15*E15*G15</f>
        <v>487050</v>
      </c>
      <c r="L15" s="80">
        <v>2</v>
      </c>
      <c r="M15" s="84">
        <f t="shared" ref="M15:M16" si="1">I15</f>
        <v>974100</v>
      </c>
      <c r="N15" s="80">
        <f>J15</f>
        <v>1</v>
      </c>
      <c r="O15" s="82">
        <f t="shared" si="0"/>
        <v>487050</v>
      </c>
    </row>
    <row r="16" spans="2:15" ht="47.25" customHeight="1" thickBot="1" x14ac:dyDescent="0.3">
      <c r="B16" s="116" t="s">
        <v>62</v>
      </c>
      <c r="C16" s="117"/>
      <c r="D16" s="117"/>
      <c r="E16" s="117"/>
      <c r="F16" s="117"/>
      <c r="G16" s="117"/>
      <c r="H16" s="118"/>
      <c r="I16" s="77">
        <f>I12+I13+I15</f>
        <v>5174100</v>
      </c>
      <c r="J16" s="66"/>
      <c r="K16" s="89">
        <f>SUM(K12:K15)</f>
        <v>2587050</v>
      </c>
      <c r="L16" s="87"/>
      <c r="M16" s="84">
        <f t="shared" si="1"/>
        <v>5174100</v>
      </c>
      <c r="N16" s="80"/>
      <c r="O16" s="82">
        <f t="shared" si="0"/>
        <v>2587050</v>
      </c>
    </row>
    <row r="17" spans="2:15" ht="33.75" customHeight="1" thickBot="1" x14ac:dyDescent="0.3">
      <c r="B17" s="33"/>
      <c r="C17" s="119" t="s">
        <v>50</v>
      </c>
      <c r="D17" s="120"/>
      <c r="E17" s="120"/>
      <c r="F17" s="120"/>
      <c r="G17" s="121"/>
      <c r="H17" s="38">
        <f>FM!D35</f>
        <v>2</v>
      </c>
      <c r="I17" s="67">
        <f>I16*H17</f>
        <v>10348200</v>
      </c>
      <c r="J17" s="66"/>
      <c r="K17" s="55">
        <f>K16*H17</f>
        <v>5174100</v>
      </c>
      <c r="L17" s="87"/>
      <c r="M17" s="48">
        <f>SUM(M12:M16)</f>
        <v>10348200</v>
      </c>
      <c r="N17" s="66"/>
      <c r="O17" s="55">
        <f>SUM(O12:O16)</f>
        <v>5174100</v>
      </c>
    </row>
    <row r="18" spans="2:15" ht="16.5" thickBot="1" x14ac:dyDescent="0.3">
      <c r="B18" s="3">
        <v>3</v>
      </c>
      <c r="C18" s="136" t="s">
        <v>63</v>
      </c>
      <c r="D18" s="153"/>
      <c r="E18" s="153"/>
      <c r="F18" s="153"/>
      <c r="G18" s="160"/>
      <c r="H18" s="69"/>
      <c r="I18" s="70"/>
      <c r="J18" s="81"/>
      <c r="K18" s="81"/>
      <c r="L18" s="100"/>
      <c r="N18" s="81"/>
      <c r="O18" s="81"/>
    </row>
    <row r="19" spans="2:15" ht="63" customHeight="1" thickBot="1" x14ac:dyDescent="0.3">
      <c r="B19" s="74">
        <v>3.1</v>
      </c>
      <c r="C19" s="122" t="s">
        <v>64</v>
      </c>
      <c r="D19" s="123"/>
      <c r="E19" s="124" t="s">
        <v>65</v>
      </c>
      <c r="F19" s="125"/>
      <c r="G19" s="101">
        <v>100000</v>
      </c>
      <c r="H19" s="58">
        <v>1</v>
      </c>
      <c r="I19" s="72">
        <f t="shared" ref="I19:I25" si="2">G19*H19</f>
        <v>100000</v>
      </c>
      <c r="J19" s="80">
        <v>0.5</v>
      </c>
      <c r="K19" s="88">
        <f>I19*J19</f>
        <v>50000</v>
      </c>
      <c r="L19" s="80">
        <v>1</v>
      </c>
      <c r="M19" s="85">
        <f>I19</f>
        <v>100000</v>
      </c>
      <c r="N19" s="80">
        <f>J19</f>
        <v>0.5</v>
      </c>
      <c r="O19" s="82">
        <f>K19</f>
        <v>50000</v>
      </c>
    </row>
    <row r="20" spans="2:15" ht="63" customHeight="1" thickBot="1" x14ac:dyDescent="0.3">
      <c r="B20" s="75">
        <v>3.2</v>
      </c>
      <c r="C20" s="126" t="s">
        <v>66</v>
      </c>
      <c r="D20" s="127"/>
      <c r="E20" s="128" t="s">
        <v>67</v>
      </c>
      <c r="F20" s="129"/>
      <c r="G20" s="76">
        <v>200000</v>
      </c>
      <c r="H20" s="58">
        <v>2</v>
      </c>
      <c r="I20" s="72">
        <f t="shared" si="2"/>
        <v>400000</v>
      </c>
      <c r="J20" s="87">
        <v>1</v>
      </c>
      <c r="K20" s="88">
        <f>G20*J20</f>
        <v>200000</v>
      </c>
      <c r="L20" s="80">
        <v>2</v>
      </c>
      <c r="M20" s="85">
        <f t="shared" ref="M20:M25" si="3">I20</f>
        <v>400000</v>
      </c>
      <c r="N20" s="80">
        <f t="shared" ref="N20:N25" si="4">J20</f>
        <v>1</v>
      </c>
      <c r="O20" s="82">
        <f t="shared" ref="O20:O25" si="5">K20</f>
        <v>200000</v>
      </c>
    </row>
    <row r="21" spans="2:15" ht="63" customHeight="1" thickBot="1" x14ac:dyDescent="0.3">
      <c r="B21" s="3">
        <v>3.3</v>
      </c>
      <c r="C21" s="161" t="s">
        <v>68</v>
      </c>
      <c r="D21" s="162"/>
      <c r="E21" s="163" t="s">
        <v>65</v>
      </c>
      <c r="F21" s="164"/>
      <c r="G21" s="6">
        <v>2775840.625</v>
      </c>
      <c r="H21" s="69">
        <v>1</v>
      </c>
      <c r="I21" s="73">
        <f t="shared" si="2"/>
        <v>2775840.625</v>
      </c>
      <c r="J21" s="96">
        <v>0.5</v>
      </c>
      <c r="K21" s="97">
        <f>I21*J21</f>
        <v>1387920.3125</v>
      </c>
      <c r="L21" s="96">
        <v>1</v>
      </c>
      <c r="M21" s="98">
        <f t="shared" si="3"/>
        <v>2775840.625</v>
      </c>
      <c r="N21" s="96">
        <f t="shared" si="4"/>
        <v>0.5</v>
      </c>
      <c r="O21" s="99">
        <f t="shared" si="5"/>
        <v>1387920.3125</v>
      </c>
    </row>
    <row r="22" spans="2:15" ht="63" customHeight="1" thickBot="1" x14ac:dyDescent="0.3">
      <c r="B22" s="3">
        <v>3.4</v>
      </c>
      <c r="C22" s="126" t="s">
        <v>69</v>
      </c>
      <c r="D22" s="127"/>
      <c r="E22" s="128" t="s">
        <v>70</v>
      </c>
      <c r="F22" s="129"/>
      <c r="G22" s="6">
        <v>29000</v>
      </c>
      <c r="H22" s="71">
        <v>2</v>
      </c>
      <c r="I22" s="72">
        <f t="shared" si="2"/>
        <v>58000</v>
      </c>
      <c r="J22" s="80">
        <v>2</v>
      </c>
      <c r="K22" s="88">
        <f>G22*J22</f>
        <v>58000</v>
      </c>
      <c r="L22" s="80">
        <v>2</v>
      </c>
      <c r="M22" s="85">
        <f t="shared" si="3"/>
        <v>58000</v>
      </c>
      <c r="N22" s="80">
        <f t="shared" si="4"/>
        <v>2</v>
      </c>
      <c r="O22" s="82">
        <f t="shared" si="5"/>
        <v>58000</v>
      </c>
    </row>
    <row r="23" spans="2:15" ht="63" customHeight="1" thickBot="1" x14ac:dyDescent="0.3">
      <c r="B23" s="3">
        <v>3.5</v>
      </c>
      <c r="C23" s="126" t="s">
        <v>71</v>
      </c>
      <c r="D23" s="127"/>
      <c r="E23" s="128" t="s">
        <v>70</v>
      </c>
      <c r="F23" s="129"/>
      <c r="G23" s="6">
        <v>20000</v>
      </c>
      <c r="H23" s="69">
        <v>2</v>
      </c>
      <c r="I23" s="73">
        <f t="shared" si="2"/>
        <v>40000</v>
      </c>
      <c r="J23" s="96">
        <v>2</v>
      </c>
      <c r="K23" s="97">
        <f>G23*J23</f>
        <v>40000</v>
      </c>
      <c r="L23" s="96">
        <v>2</v>
      </c>
      <c r="M23" s="98">
        <f t="shared" si="3"/>
        <v>40000</v>
      </c>
      <c r="N23" s="96">
        <f t="shared" si="4"/>
        <v>2</v>
      </c>
      <c r="O23" s="99">
        <f t="shared" si="5"/>
        <v>40000</v>
      </c>
    </row>
    <row r="24" spans="2:15" ht="63" customHeight="1" thickBot="1" x14ac:dyDescent="0.3">
      <c r="B24" s="3">
        <v>3.6</v>
      </c>
      <c r="C24" s="126" t="s">
        <v>72</v>
      </c>
      <c r="D24" s="127"/>
      <c r="E24" s="128" t="s">
        <v>70</v>
      </c>
      <c r="F24" s="129"/>
      <c r="G24" s="6">
        <v>80000</v>
      </c>
      <c r="H24" s="71">
        <v>5</v>
      </c>
      <c r="I24" s="72">
        <f t="shared" si="2"/>
        <v>400000</v>
      </c>
      <c r="J24" s="66"/>
      <c r="K24" s="82"/>
      <c r="L24" s="80">
        <v>5</v>
      </c>
      <c r="M24" s="85">
        <f t="shared" si="3"/>
        <v>400000</v>
      </c>
      <c r="N24" s="80">
        <f t="shared" si="4"/>
        <v>0</v>
      </c>
      <c r="O24" s="82">
        <f t="shared" si="5"/>
        <v>0</v>
      </c>
    </row>
    <row r="25" spans="2:15" ht="72" customHeight="1" thickBot="1" x14ac:dyDescent="0.3">
      <c r="B25" s="3">
        <v>3.7</v>
      </c>
      <c r="C25" s="167" t="s">
        <v>73</v>
      </c>
      <c r="D25" s="168"/>
      <c r="E25" s="110" t="s">
        <v>74</v>
      </c>
      <c r="F25" s="111"/>
      <c r="G25" s="6">
        <v>16139475</v>
      </c>
      <c r="H25" s="40">
        <v>0.125</v>
      </c>
      <c r="I25" s="46">
        <f t="shared" si="2"/>
        <v>2017434.375</v>
      </c>
      <c r="J25" s="91">
        <v>7897166.0700000003</v>
      </c>
      <c r="K25" s="92">
        <f>J25*H25</f>
        <v>987145.75875000004</v>
      </c>
      <c r="L25" s="93">
        <v>0.125</v>
      </c>
      <c r="M25" s="86">
        <f t="shared" si="3"/>
        <v>2017434.375</v>
      </c>
      <c r="N25" s="94">
        <f t="shared" si="4"/>
        <v>7897166.0700000003</v>
      </c>
      <c r="O25" s="95">
        <f t="shared" si="5"/>
        <v>987145.75875000004</v>
      </c>
    </row>
    <row r="26" spans="2:15" ht="23.45" customHeight="1" thickBot="1" x14ac:dyDescent="0.3">
      <c r="B26" s="32"/>
      <c r="C26" s="112" t="s">
        <v>75</v>
      </c>
      <c r="D26" s="113"/>
      <c r="E26" s="113"/>
      <c r="F26" s="113"/>
      <c r="G26" s="113"/>
      <c r="H26" s="114"/>
      <c r="I26" s="48">
        <f>SUM(I19:I25)</f>
        <v>5791275</v>
      </c>
      <c r="J26" s="83"/>
      <c r="K26" s="65">
        <f>SUM(K19:K25)</f>
        <v>2723066.07125</v>
      </c>
      <c r="M26" s="65">
        <f>SUM(M19:M25)</f>
        <v>5791275</v>
      </c>
      <c r="N26" s="53"/>
      <c r="O26" s="65">
        <f>SUM(O19:O25)</f>
        <v>2723066.07125</v>
      </c>
    </row>
    <row r="27" spans="2:15" ht="16.5" thickBot="1" x14ac:dyDescent="0.3">
      <c r="B27" s="115"/>
      <c r="C27" s="115"/>
      <c r="D27" s="115"/>
      <c r="E27" s="115"/>
      <c r="F27" s="115"/>
      <c r="G27" s="115"/>
      <c r="H27" s="115"/>
      <c r="I27" s="115"/>
    </row>
    <row r="28" spans="2:15" ht="48" customHeight="1" thickBot="1" x14ac:dyDescent="0.3">
      <c r="B28" s="34"/>
      <c r="C28" s="116" t="s">
        <v>76</v>
      </c>
      <c r="D28" s="117"/>
      <c r="E28" s="117"/>
      <c r="F28" s="117"/>
      <c r="G28" s="117"/>
      <c r="H28" s="118"/>
      <c r="I28" s="35">
        <f>I17+I26</f>
        <v>16139475</v>
      </c>
      <c r="J28" s="51" t="s">
        <v>85</v>
      </c>
      <c r="K28" s="54">
        <f>K26+K17</f>
        <v>7897166.07125</v>
      </c>
      <c r="L28" s="102" t="s">
        <v>93</v>
      </c>
      <c r="M28" s="62">
        <f>M26+M17</f>
        <v>16139475</v>
      </c>
      <c r="N28" s="102" t="s">
        <v>93</v>
      </c>
      <c r="O28" s="62">
        <f>O17+O26</f>
        <v>7897166.07125</v>
      </c>
    </row>
    <row r="29" spans="2:15" ht="21" customHeight="1" thickBot="1" x14ac:dyDescent="0.3">
      <c r="B29" s="36"/>
      <c r="C29" s="116" t="s">
        <v>77</v>
      </c>
      <c r="D29" s="117"/>
      <c r="E29" s="117"/>
      <c r="F29" s="117"/>
      <c r="G29" s="118"/>
      <c r="H29" s="39">
        <v>0.19</v>
      </c>
      <c r="I29" s="37">
        <f>(I28*H29)</f>
        <v>3066500.25</v>
      </c>
      <c r="J29" s="50" t="s">
        <v>84</v>
      </c>
      <c r="K29" s="54">
        <f>K28*0.19</f>
        <v>1500461.5535375001</v>
      </c>
      <c r="L29" s="103" t="s">
        <v>77</v>
      </c>
      <c r="M29" s="62">
        <f>I29</f>
        <v>3066500.25</v>
      </c>
      <c r="N29" s="103" t="s">
        <v>77</v>
      </c>
      <c r="O29" s="62">
        <f>O28*0.19</f>
        <v>1500461.5535375001</v>
      </c>
    </row>
    <row r="30" spans="2:15" ht="28.5" customHeight="1" thickBot="1" x14ac:dyDescent="0.3">
      <c r="B30" s="165"/>
      <c r="C30" s="166"/>
      <c r="D30" s="166"/>
      <c r="E30" s="166"/>
      <c r="F30" s="166"/>
      <c r="G30" s="166"/>
      <c r="H30" s="166"/>
      <c r="I30" s="166"/>
      <c r="J30" s="166"/>
      <c r="K30" s="166"/>
      <c r="M30" s="53"/>
    </row>
    <row r="31" spans="2:15" ht="36" customHeight="1" thickBot="1" x14ac:dyDescent="0.3">
      <c r="B31" s="34"/>
      <c r="C31" s="130" t="s">
        <v>78</v>
      </c>
      <c r="D31" s="131"/>
      <c r="E31" s="131"/>
      <c r="F31" s="131"/>
      <c r="G31" s="131"/>
      <c r="H31" s="132"/>
      <c r="I31" s="37">
        <f>(I28+I29)</f>
        <v>19205975.25</v>
      </c>
      <c r="J31" s="51" t="s">
        <v>86</v>
      </c>
      <c r="K31" s="54">
        <f>K28+K29</f>
        <v>9397627.6247875001</v>
      </c>
      <c r="L31" s="104" t="s">
        <v>94</v>
      </c>
      <c r="M31" s="63">
        <f>M28+M29</f>
        <v>19205975.25</v>
      </c>
      <c r="N31" s="104" t="s">
        <v>95</v>
      </c>
      <c r="O31" s="54">
        <f>O28+O29</f>
        <v>9397627.6247875001</v>
      </c>
    </row>
    <row r="32" spans="2:15" x14ac:dyDescent="0.25">
      <c r="J32" s="27"/>
    </row>
    <row r="33" spans="4:13" x14ac:dyDescent="0.25">
      <c r="I33" s="52"/>
    </row>
    <row r="34" spans="4:13" x14ac:dyDescent="0.25">
      <c r="D34" s="43"/>
      <c r="I34" s="27"/>
      <c r="K34" s="60"/>
    </row>
    <row r="35" spans="4:13" ht="15.75" x14ac:dyDescent="0.25">
      <c r="D35" s="44"/>
      <c r="I35" s="52"/>
      <c r="J35" s="52"/>
      <c r="K35" s="52"/>
    </row>
    <row r="37" spans="4:13" ht="15.75" x14ac:dyDescent="0.25">
      <c r="D37" s="44"/>
      <c r="I37" s="52"/>
      <c r="J37" s="53"/>
      <c r="K37" s="61"/>
    </row>
    <row r="38" spans="4:13" ht="15.75" x14ac:dyDescent="0.25">
      <c r="D38" s="44"/>
      <c r="K38" s="57"/>
    </row>
    <row r="39" spans="4:13" ht="15.75" x14ac:dyDescent="0.25">
      <c r="D39" s="45" t="s">
        <v>81</v>
      </c>
      <c r="I39" s="159" t="s">
        <v>96</v>
      </c>
      <c r="J39" s="159"/>
      <c r="K39" s="56"/>
      <c r="L39" s="159" t="s">
        <v>118</v>
      </c>
      <c r="M39" s="159"/>
    </row>
    <row r="40" spans="4:13" ht="15.75" x14ac:dyDescent="0.25">
      <c r="D40" s="45" t="s">
        <v>82</v>
      </c>
      <c r="I40" s="159" t="s">
        <v>117</v>
      </c>
      <c r="J40" s="159"/>
      <c r="L40" s="159" t="s">
        <v>119</v>
      </c>
      <c r="M40" s="159"/>
    </row>
  </sheetData>
  <mergeCells count="57">
    <mergeCell ref="L39:M39"/>
    <mergeCell ref="L40:M40"/>
    <mergeCell ref="I39:J39"/>
    <mergeCell ref="I40:J40"/>
    <mergeCell ref="C18:G18"/>
    <mergeCell ref="C21:D21"/>
    <mergeCell ref="E21:F21"/>
    <mergeCell ref="C22:D22"/>
    <mergeCell ref="E22:F22"/>
    <mergeCell ref="C23:D23"/>
    <mergeCell ref="E23:F23"/>
    <mergeCell ref="C24:D24"/>
    <mergeCell ref="E24:F24"/>
    <mergeCell ref="B30:K30"/>
    <mergeCell ref="C31:H31"/>
    <mergeCell ref="C25:D25"/>
    <mergeCell ref="C10:D10"/>
    <mergeCell ref="E10:F10"/>
    <mergeCell ref="C11:G11"/>
    <mergeCell ref="C12:D12"/>
    <mergeCell ref="E12:F12"/>
    <mergeCell ref="C13:D13"/>
    <mergeCell ref="E13:F13"/>
    <mergeCell ref="C14:G14"/>
    <mergeCell ref="C15:D15"/>
    <mergeCell ref="E15:F15"/>
    <mergeCell ref="C9:D9"/>
    <mergeCell ref="E9:F9"/>
    <mergeCell ref="B4:I4"/>
    <mergeCell ref="B5:O5"/>
    <mergeCell ref="B6:C6"/>
    <mergeCell ref="B7:C8"/>
    <mergeCell ref="D7:D8"/>
    <mergeCell ref="E6:F6"/>
    <mergeCell ref="E7:F7"/>
    <mergeCell ref="E8:F8"/>
    <mergeCell ref="N8:O8"/>
    <mergeCell ref="G7:I7"/>
    <mergeCell ref="G8:I8"/>
    <mergeCell ref="B3:O3"/>
    <mergeCell ref="K6:L6"/>
    <mergeCell ref="K7:L7"/>
    <mergeCell ref="K8:L8"/>
    <mergeCell ref="N6:O6"/>
    <mergeCell ref="N7:O7"/>
    <mergeCell ref="G6:I6"/>
    <mergeCell ref="B16:H16"/>
    <mergeCell ref="C17:G17"/>
    <mergeCell ref="C19:D19"/>
    <mergeCell ref="E19:F19"/>
    <mergeCell ref="C20:D20"/>
    <mergeCell ref="E20:F20"/>
    <mergeCell ref="E25:F25"/>
    <mergeCell ref="C26:H26"/>
    <mergeCell ref="B27:I27"/>
    <mergeCell ref="C28:H28"/>
    <mergeCell ref="C29:G29"/>
  </mergeCells>
  <phoneticPr fontId="19" type="noConversion"/>
  <pageMargins left="0.7" right="0.7" top="0.75" bottom="0.75" header="0.3" footer="0.3"/>
  <pageSetup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FM</vt:lpstr>
      <vt:lpstr>ACTA FINAL NUMERICA </vt:lpstr>
      <vt:lpstr>'ACTA FINAL NUMERICA '!Área_de_impresión</vt:lpstr>
      <vt:lpstr>FM!Área_de_impresión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Francy Lorena Hernandez Arrieta</dc:creator>
  <cp:keywords/>
  <dc:description/>
  <cp:lastModifiedBy>Seccional Administrativa - Sucre - Sincelejo</cp:lastModifiedBy>
  <cp:revision/>
  <cp:lastPrinted>2026-03-09T18:36:04Z</cp:lastPrinted>
  <dcterms:created xsi:type="dcterms:W3CDTF">2024-03-07T18:52:42Z</dcterms:created>
  <dcterms:modified xsi:type="dcterms:W3CDTF">2026-03-09T18:36:28Z</dcterms:modified>
  <cp:category/>
  <cp:contentStatus/>
</cp:coreProperties>
</file>