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JEISSON\Desktop\ALCALDIA DORADA\POZO SEPTICO SAN CARLOS\"/>
    </mc:Choice>
  </mc:AlternateContent>
  <xr:revisionPtr revIDLastSave="0" documentId="13_ncr:1_{7BCC94FF-FC84-4D44-A2DA-ABF03B608367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PRESUPUESTO" sheetId="3" r:id="rId1"/>
    <sheet name="APUS" sheetId="4" r:id="rId2"/>
    <sheet name="MEMORIA CANTIDADES" sheetId="5" r:id="rId3"/>
    <sheet name="FLUJO DE INVERSION " sheetId="6" r:id="rId4"/>
    <sheet name="CRONOGRAMA" sheetId="7" r:id="rId5"/>
    <sheet name="F.M " sheetId="8" r:id="rId6"/>
    <sheet name="DESGLOSE AIU" sheetId="9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a" localSheetId="4">[1]Insumos!#REF!</definedName>
    <definedName name="\a" localSheetId="3">[1]Insumos!#REF!</definedName>
    <definedName name="\a">[1]Insumos!#REF!</definedName>
    <definedName name="\b">[2]INSUMOS!#REF!</definedName>
    <definedName name="\i">[2]INSUMOS!#REF!</definedName>
    <definedName name="\m">[2]INSUMOS!#REF!</definedName>
    <definedName name="\r">[2]INSUMOS!#REF!</definedName>
    <definedName name="\t">[2]INSUMOS!#REF!</definedName>
    <definedName name="\x">[2]INSUMOS!#REF!</definedName>
    <definedName name="_________________________________apu1">[2]INSUMOS!#REF!</definedName>
    <definedName name="________________________________apu1">[2]INSUMOS!#REF!</definedName>
    <definedName name="_______________________________apu1">[2]INSUMOS!#REF!</definedName>
    <definedName name="______________________________apu1">[2]INSUMOS!#REF!</definedName>
    <definedName name="____________________________apu1">[2]INSUMOS!#REF!</definedName>
    <definedName name="___________________________apu1">[2]INSUMOS!#REF!</definedName>
    <definedName name="__________________________apu1">[2]INSUMOS!#REF!</definedName>
    <definedName name="_________________________apu1">[2]INSUMOS!#REF!</definedName>
    <definedName name="________________________apu1">[2]INSUMOS!#REF!</definedName>
    <definedName name="_______________________apu1">[2]INSUMOS!#REF!</definedName>
    <definedName name="_____________________apu1">[2]INSUMOS!#REF!</definedName>
    <definedName name="____________________apu1">[2]INSUMOS!#REF!</definedName>
    <definedName name="___________________apu1">[2]INSUMOS!#REF!</definedName>
    <definedName name="__________________apu1">[2]INSUMOS!#REF!</definedName>
    <definedName name="_________________apu1">[2]INSUMOS!#REF!</definedName>
    <definedName name="________________apu1">[2]INSUMOS!#REF!</definedName>
    <definedName name="_______________apu1">[2]INSUMOS!#REF!</definedName>
    <definedName name="______________apu1">[2]INSUMOS!#REF!</definedName>
    <definedName name="_____________apu1">[2]INSUMOS!#REF!</definedName>
    <definedName name="____________apu1">[2]INSUMOS!#REF!</definedName>
    <definedName name="___________apu1">[2]INSUMOS!#REF!</definedName>
    <definedName name="__________apu1">[2]INSUMOS!#REF!</definedName>
    <definedName name="_________apu1">[2]INSUMOS!#REF!</definedName>
    <definedName name="________apu1">[2]INSUMOS!#REF!</definedName>
    <definedName name="_______apu1">[2]INSUMOS!#REF!</definedName>
    <definedName name="______apu1">[2]INSUMOS!#REF!</definedName>
    <definedName name="_____apu1">[2]INSUMOS!#REF!</definedName>
    <definedName name="____apu1">[2]INSUMOS!#REF!</definedName>
    <definedName name="___apu1">[2]INSUMOS!#REF!</definedName>
    <definedName name="__apu1">[2]INSUMOS!#REF!</definedName>
    <definedName name="_A16400" localSheetId="4">#REF!</definedName>
    <definedName name="_A16400" localSheetId="3">#REF!</definedName>
    <definedName name="_A16400" localSheetId="0">#REF!</definedName>
    <definedName name="_A16400">#REF!</definedName>
    <definedName name="_apu1">[2]INSUMOS!#REF!</definedName>
    <definedName name="_Key1" localSheetId="4" hidden="1">[2]INSUMOS!#REF!</definedName>
    <definedName name="_Key1" localSheetId="3" hidden="1">[2]INSUMOS!#REF!</definedName>
    <definedName name="_Key1" localSheetId="0" hidden="1">[2]INSUMOS!#REF!</definedName>
    <definedName name="_Key1" hidden="1">[2]INSUMOS!#REF!</definedName>
    <definedName name="_Order1" hidden="1">255</definedName>
    <definedName name="_Sort" hidden="1">[2]INSUMOS!#REF!</definedName>
    <definedName name="A" localSheetId="6">#REF!</definedName>
    <definedName name="a">[1]Insumos!#REF!</definedName>
    <definedName name="ACERO" localSheetId="6">#REF!</definedName>
    <definedName name="ACERO">#REF!</definedName>
    <definedName name="ACTIVOS" localSheetId="6">#REF!</definedName>
    <definedName name="ACTIVOS">#REF!</definedName>
    <definedName name="adfasdfsa" localSheetId="6">[1]Insumos!#REF!</definedName>
    <definedName name="adfasdfsa">[1]Insumos!#REF!</definedName>
    <definedName name="adfasfadfa">[1]Insumos!#REF!</definedName>
    <definedName name="ADMON" localSheetId="6">#REF!</definedName>
    <definedName name="ADMON">#REF!</definedName>
    <definedName name="adsfadsfasdfafdasfdasfd" localSheetId="4">[2]INSUMOS!#REF!</definedName>
    <definedName name="adsfadsfasdfafdasfdasfd" localSheetId="3">[2]INSUMOS!#REF!</definedName>
    <definedName name="adsfadsfasdfafdasfdasfd" localSheetId="0">[2]INSUMOS!#REF!</definedName>
    <definedName name="adsfadsfasdfafdasfdasfd">[2]INSUMOS!#REF!</definedName>
    <definedName name="adsfadsfasfasdfasfdasdfadsfdsafdsa">[1]Insumos!#REF!</definedName>
    <definedName name="afdaffaf">[1]Insumos!#REF!</definedName>
    <definedName name="AGUA">[3]INSUMOS!$D$4</definedName>
    <definedName name="ALAMB">[3]INSUMOS!$D$169</definedName>
    <definedName name="ALAMBRE" localSheetId="6">#REF!</definedName>
    <definedName name="ALAMBRE">#REF!</definedName>
    <definedName name="ANDENESV" localSheetId="6">#REF!</definedName>
    <definedName name="ANDENESV">#REF!</definedName>
    <definedName name="ANTISB">[3]INSUMOS!$D$181</definedName>
    <definedName name="APU" localSheetId="6">[4]APU!$A:$H</definedName>
    <definedName name="apu">[1]Insumos!#REF!</definedName>
    <definedName name="APUS" localSheetId="6">[5]APU!$A:$H</definedName>
    <definedName name="APUS">[6]APU!$A:$H</definedName>
    <definedName name="_xlnm.Extract" localSheetId="4">#REF!</definedName>
    <definedName name="_xlnm.Extract" localSheetId="3">#REF!</definedName>
    <definedName name="_xlnm.Extract" localSheetId="0">#REF!</definedName>
    <definedName name="_xlnm.Extract">#REF!</definedName>
    <definedName name="_xlnm.Print_Area" localSheetId="1">APUS!$A$1:$H$153</definedName>
    <definedName name="_xlnm.Print_Area" localSheetId="4">CRONOGRAMA!$A$1:$P$37</definedName>
    <definedName name="_xlnm.Print_Area" localSheetId="6">'DESGLOSE AIU'!$A$1:$F$58</definedName>
    <definedName name="_xlnm.Print_Area" localSheetId="5">'F.M '!$A$1:$H$43</definedName>
    <definedName name="_xlnm.Print_Area" localSheetId="3">'FLUJO DE INVERSION '!$A$1:$P$37</definedName>
    <definedName name="_xlnm.Print_Area" localSheetId="2">'MEMORIA CANTIDADES'!$A$1:$I$52</definedName>
    <definedName name="_xlnm.Print_Area" localSheetId="0">PRESUPUESTO!$A$1:$G$39</definedName>
    <definedName name="ARENA" localSheetId="6">#REF!</definedName>
    <definedName name="ARENA">#REF!</definedName>
    <definedName name="Arial" localSheetId="6">#REF!</definedName>
    <definedName name="Arial">#REF!</definedName>
    <definedName name="asdfadsfadsfafda" localSheetId="6">[1]Insumos!#REF!</definedName>
    <definedName name="asdfadsfadsfafda">[1]Insumos!#REF!</definedName>
    <definedName name="asdfasdf">[2]INSUMOS!#REF!</definedName>
    <definedName name="AYU" localSheetId="6">#REF!</definedName>
    <definedName name="AYU">#REF!</definedName>
    <definedName name="b" localSheetId="4">[1]Insumos!#REF!</definedName>
    <definedName name="b" localSheetId="3">[1]Insumos!#REF!</definedName>
    <definedName name="b" localSheetId="0">[1]Insumos!#REF!</definedName>
    <definedName name="b">[1]Insumos!#REF!</definedName>
    <definedName name="BASE" localSheetId="6">#REF!</definedName>
    <definedName name="BASE">#REF!</definedName>
    <definedName name="Base_datos_IM" localSheetId="4">[1]Insumos!#REF!</definedName>
    <definedName name="Base_datos_IM" localSheetId="3">[1]Insumos!#REF!</definedName>
    <definedName name="Base_datos_IM" localSheetId="0">[1]Insumos!#REF!</definedName>
    <definedName name="Base_datos_IM">[1]Insumos!#REF!</definedName>
    <definedName name="_xlnm.Database" localSheetId="6">#REF!</definedName>
    <definedName name="_xlnm.Database">[1]Insumos!#REF!</definedName>
    <definedName name="BASEGRAV" localSheetId="6">#REF!</definedName>
    <definedName name="BASEGRAV">#REF!</definedName>
    <definedName name="BD_COD" localSheetId="6">#REF!</definedName>
    <definedName name="BD_COD">#REF!</definedName>
    <definedName name="BD_DIL" localSheetId="6">#REF!</definedName>
    <definedName name="BD_DIL">#REF!</definedName>
    <definedName name="BORDE1">#N/A</definedName>
    <definedName name="CANGURO" localSheetId="6">#REF!</definedName>
    <definedName name="CANGURO">#REF!</definedName>
    <definedName name="Capitulo">[7]Capitulos!$B$1:$B$65536</definedName>
    <definedName name="CEM">[3]INSUMOS!$D$275</definedName>
    <definedName name="CEMENTO" localSheetId="6">#REF!</definedName>
    <definedName name="CEMENTO">#REF!</definedName>
    <definedName name="cesped" localSheetId="4">[8]Mater!#REF!</definedName>
    <definedName name="cesped" localSheetId="3">[8]Mater!#REF!</definedName>
    <definedName name="cesped" localSheetId="0">[8]Mater!#REF!</definedName>
    <definedName name="cesped">[8]Mater!#REF!</definedName>
    <definedName name="COMPRE" localSheetId="6">#REF!</definedName>
    <definedName name="COMPRE">#REF!</definedName>
    <definedName name="CONCRETO25" localSheetId="6">#REF!</definedName>
    <definedName name="CONCRETO25">#REF!</definedName>
    <definedName name="Concreto2500v" localSheetId="6">#REF!</definedName>
    <definedName name="Concreto2500v">#REF!</definedName>
    <definedName name="CONCRETO3" localSheetId="6">#REF!</definedName>
    <definedName name="CONCRETO3">#REF!</definedName>
    <definedName name="concreto5" localSheetId="6">#REF!</definedName>
    <definedName name="concreto5">#REF!</definedName>
    <definedName name="Concreto5500v" localSheetId="6">#REF!</definedName>
    <definedName name="Concreto5500v">#REF!</definedName>
    <definedName name="concretomuro" localSheetId="6">#REF!</definedName>
    <definedName name="concretomuro">#REF!</definedName>
    <definedName name="_xlnm.Criteria" localSheetId="4">[2]INSUMOS!#REF!</definedName>
    <definedName name="_xlnm.Criteria" localSheetId="6">#REF!</definedName>
    <definedName name="_xlnm.Criteria" localSheetId="3">[2]INSUMOS!#REF!</definedName>
    <definedName name="_xlnm.Criteria" localSheetId="0">[2]INSUMOS!#REF!</definedName>
    <definedName name="_xlnm.Criteria">[2]INSUMOS!#REF!</definedName>
    <definedName name="Criterios_IM" localSheetId="6">[2]INSUMOS!#REF!</definedName>
    <definedName name="Criterios_IM">[2]INSUMOS!#REF!</definedName>
    <definedName name="Cronograma">[2]INSUMOS!#REF!</definedName>
    <definedName name="CUAD" localSheetId="6">#REF!</definedName>
    <definedName name="CUAD">#REF!</definedName>
    <definedName name="Cuadrilla">'[7]Mano Obra'!$B$1:$B$65536</definedName>
    <definedName name="DEMOLICIONANDEN" localSheetId="6">#REF!</definedName>
    <definedName name="DEMOLICIONANDEN">#REF!</definedName>
    <definedName name="demolicionladrillo" localSheetId="6">#REF!</definedName>
    <definedName name="demolicionladrillo">#REF!</definedName>
    <definedName name="DEMOLICIONMURO" localSheetId="6">#REF!</definedName>
    <definedName name="DEMOLICIONMURO">#REF!</definedName>
    <definedName name="demolicionpav" localSheetId="6">#REF!</definedName>
    <definedName name="demolicionpav">#REF!</definedName>
    <definedName name="DesgAIU">[9]APU!$A:$H</definedName>
    <definedName name="dfasfdasdfadsfasdfas" localSheetId="4">[1]Insumos!#REF!</definedName>
    <definedName name="dfasfdasdfadsfasdfas" localSheetId="3">[1]Insumos!#REF!</definedName>
    <definedName name="dfasfdasdfadsfasdfas" localSheetId="0">[1]Insumos!#REF!</definedName>
    <definedName name="dfasfdasdfadsfasdfas">[1]Insumos!#REF!</definedName>
    <definedName name="DIA" localSheetId="6">#REF!</definedName>
    <definedName name="DIA">#REF!</definedName>
    <definedName name="espejo" localSheetId="4">[1]Insumos!#REF!</definedName>
    <definedName name="espejo" localSheetId="3">[1]Insumos!#REF!</definedName>
    <definedName name="espejo" localSheetId="0">[1]Insumos!#REF!</definedName>
    <definedName name="espejo">[1]Insumos!#REF!</definedName>
    <definedName name="ESTACA" localSheetId="6">#REF!</definedName>
    <definedName name="ESTACA">#REF!</definedName>
    <definedName name="excavaconglomerado" localSheetId="6">#REF!</definedName>
    <definedName name="excavaconglomerado">#REF!</definedName>
    <definedName name="EXCAVAMANOV" localSheetId="6">#REF!</definedName>
    <definedName name="EXCAVAMANOV">#REF!</definedName>
    <definedName name="EXCAVAMAQUINAV" localSheetId="6">#REF!</definedName>
    <definedName name="EXCAVAMAQUINAV">#REF!</definedName>
    <definedName name="EXCAVATIERRA" localSheetId="6">#REF!</definedName>
    <definedName name="EXCAVATIERRA">#REF!</definedName>
    <definedName name="EXPL" localSheetId="6">#REF!</definedName>
    <definedName name="EXPL">#REF!</definedName>
    <definedName name="filtrov" localSheetId="6">#REF!</definedName>
    <definedName name="filtrov">#REF!</definedName>
    <definedName name="FORMA" localSheetId="6">#REF!</definedName>
    <definedName name="FORMA">#REF!</definedName>
    <definedName name="GALON" localSheetId="6">#REF!</definedName>
    <definedName name="GALON">#REF!</definedName>
    <definedName name="GEO" localSheetId="6">#REF!</definedName>
    <definedName name="GEO">#REF!</definedName>
    <definedName name="GRAVILLA" localSheetId="6">#REF!</definedName>
    <definedName name="GRAVILLA">#REF!</definedName>
    <definedName name="h" localSheetId="6">#REF!</definedName>
    <definedName name="h">#REF!</definedName>
    <definedName name="hierro60v" localSheetId="6">#REF!</definedName>
    <definedName name="hierro60v">#REF!</definedName>
    <definedName name="HMEN" localSheetId="6">#REF!</definedName>
    <definedName name="HMEN">#REF!</definedName>
    <definedName name="i">#REF!</definedName>
    <definedName name="IMP" localSheetId="6">#REF!</definedName>
    <definedName name="IMP">#REF!</definedName>
    <definedName name="inf" localSheetId="6">#REF!</definedName>
    <definedName name="inf">#REF!</definedName>
    <definedName name="Insumos" localSheetId="6">#REF!</definedName>
    <definedName name="INSUMOS">#N/A</definedName>
    <definedName name="Lavamanos" localSheetId="4">[1]Insumos!#REF!</definedName>
    <definedName name="Lavamanos" localSheetId="6">[1]Insumos!#REF!</definedName>
    <definedName name="Lavamanos" localSheetId="3">[1]Insumos!#REF!</definedName>
    <definedName name="Lavamanos" localSheetId="0">[1]Insumos!#REF!</definedName>
    <definedName name="Lavamanos">[1]Insumos!#REF!</definedName>
    <definedName name="leo" localSheetId="6">#REF!</definedName>
    <definedName name="leo">#REF!</definedName>
    <definedName name="Lista" localSheetId="6">#REF!</definedName>
    <definedName name="Lista">#REF!</definedName>
    <definedName name="LLANTAS" localSheetId="6">#REF!</definedName>
    <definedName name="LLANTAS">#REF!</definedName>
    <definedName name="llenov" localSheetId="6">#REF!</definedName>
    <definedName name="llenov">#REF!</definedName>
    <definedName name="LOCALIZACIONV" localSheetId="6">#REF!</definedName>
    <definedName name="LOCALIZACIONV">#REF!</definedName>
    <definedName name="localizamuro" localSheetId="6">#REF!</definedName>
    <definedName name="localizamuro">#REF!</definedName>
    <definedName name="MALLA" localSheetId="6">#REF!</definedName>
    <definedName name="MALLA">#REF!</definedName>
    <definedName name="Maquinaria">'[7]Maqui Equip'!$B$1:$B$65536</definedName>
    <definedName name="Materiales" localSheetId="6">#REF!</definedName>
    <definedName name="Materiales">#REF!</definedName>
    <definedName name="MDC" localSheetId="6">#REF!</definedName>
    <definedName name="MDC">#REF!</definedName>
    <definedName name="MEZCLADORA" localSheetId="6">#REF!</definedName>
    <definedName name="MEZCLADORA">#REF!</definedName>
    <definedName name="MOTO" localSheetId="6">#REF!</definedName>
    <definedName name="MOTO">#REF!</definedName>
    <definedName name="motosierra" localSheetId="6">[8]Mater!#REF!</definedName>
    <definedName name="motosierra">[8]Mater!#REF!</definedName>
    <definedName name="OFI" localSheetId="6">#REF!</definedName>
    <definedName name="OFI">#REF!</definedName>
    <definedName name="OTROS" localSheetId="6">#REF!</definedName>
    <definedName name="OTROS">#REF!</definedName>
    <definedName name="PARTE1" localSheetId="6">#REF!</definedName>
    <definedName name="PARTE1">#REF!</definedName>
    <definedName name="pavimento" localSheetId="6">#REF!</definedName>
    <definedName name="pavimento">#REF!</definedName>
    <definedName name="PREST" localSheetId="6">#REF!</definedName>
    <definedName name="PREST">#REF!</definedName>
    <definedName name="PROPONE" localSheetId="6">#REF!</definedName>
    <definedName name="PROPONE">#REF!</definedName>
    <definedName name="PUNT">[3]INSUMOS!$D$688</definedName>
    <definedName name="qdefqfqwreqwerqw" localSheetId="4">[1]Insumos!#REF!</definedName>
    <definedName name="qdefqfqwreqwerqw" localSheetId="3">[1]Insumos!#REF!</definedName>
    <definedName name="qdefqfqwreqwerqw" localSheetId="0">[1]Insumos!#REF!</definedName>
    <definedName name="qdefqfqwreqwerqw">[1]Insumos!#REF!</definedName>
    <definedName name="RAJON" localSheetId="6">#REF!</definedName>
    <definedName name="RAJON">#REF!</definedName>
    <definedName name="RECEBO" localSheetId="6">#REF!</definedName>
    <definedName name="RECEBO">#REF!</definedName>
    <definedName name="RETIROV" localSheetId="6">#REF!</definedName>
    <definedName name="RETIROV">#REF!</definedName>
    <definedName name="RETRO" localSheetId="6">#REF!</definedName>
    <definedName name="RETRO">#REF!</definedName>
    <definedName name="SARDINELV" localSheetId="6">#REF!</definedName>
    <definedName name="SARDINELV">#REF!</definedName>
    <definedName name="soladov" localSheetId="6">#REF!</definedName>
    <definedName name="soladov">#REF!</definedName>
    <definedName name="SUBBASE" localSheetId="6">#REF!</definedName>
    <definedName name="SUBBASE">#REF!</definedName>
    <definedName name="TABLA">[3]INSUMOS!$D$793</definedName>
    <definedName name="TANQUE" localSheetId="6">#REF!</definedName>
    <definedName name="TANQUE">#REF!</definedName>
    <definedName name="TERMINADORA" localSheetId="6">#REF!</definedName>
    <definedName name="TERMINADORA">#REF!</definedName>
    <definedName name="TEST1" localSheetId="6">#REF!</definedName>
    <definedName name="TEST1">#REF!</definedName>
    <definedName name="TOPO" localSheetId="6">#REF!</definedName>
    <definedName name="TOPO">#REF!</definedName>
    <definedName name="TRAB">[3]INSUMOS!$D$932</definedName>
    <definedName name="TUBO" localSheetId="6">#REF!</definedName>
    <definedName name="TUBO">#REF!</definedName>
    <definedName name="Unidades">[7]Unidades!$A$1:$A$65536</definedName>
    <definedName name="UTIL" localSheetId="6">#REF!</definedName>
    <definedName name="UTIL">#REF!</definedName>
    <definedName name="VIBRA">[3]INSUMOS!$D$1404</definedName>
    <definedName name="VIBRADOR" localSheetId="6">#REF!</definedName>
    <definedName name="VIBRADOR">#REF!</definedName>
    <definedName name="VIBRO" localSheetId="6">#REF!</definedName>
    <definedName name="VIBRO">#REF!</definedName>
    <definedName name="VOLQUETA" localSheetId="6">#REF!</definedName>
    <definedName name="VOLQUETA">#REF!</definedName>
    <definedName name="WW">#REF!</definedName>
    <definedName name="XXXXXX">#REF!</definedName>
    <definedName name="Z" localSheetId="6">[1]Insumos!#REF!</definedName>
    <definedName name="Z">[1]Insumos!#REF!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9" l="1"/>
  <c r="E25" i="9" s="1"/>
  <c r="A8" i="9"/>
  <c r="J43" i="9"/>
  <c r="J42" i="9"/>
  <c r="J41" i="9"/>
  <c r="F36" i="9"/>
  <c r="F43" i="9" s="1"/>
  <c r="F31" i="9"/>
  <c r="F42" i="9" s="1"/>
  <c r="C14" i="9"/>
  <c r="E14" i="9" s="1"/>
  <c r="B17" i="9" s="1"/>
  <c r="E17" i="9" s="1"/>
  <c r="E6" i="9"/>
  <c r="B8" i="8"/>
  <c r="G13" i="8"/>
  <c r="G30" i="8" s="1"/>
  <c r="G32" i="8" s="1"/>
  <c r="G33" i="8" s="1"/>
  <c r="F19" i="7"/>
  <c r="E19" i="7"/>
  <c r="G19" i="7" s="1"/>
  <c r="D19" i="7"/>
  <c r="B19" i="7"/>
  <c r="B18" i="7"/>
  <c r="F17" i="7"/>
  <c r="E17" i="7"/>
  <c r="G17" i="7" s="1"/>
  <c r="D17" i="7"/>
  <c r="B17" i="7"/>
  <c r="F16" i="7"/>
  <c r="E16" i="7"/>
  <c r="G16" i="7" s="1"/>
  <c r="D16" i="7"/>
  <c r="B16" i="7"/>
  <c r="B15" i="7"/>
  <c r="A8" i="7"/>
  <c r="P27" i="6"/>
  <c r="L25" i="6"/>
  <c r="P25" i="6"/>
  <c r="J22" i="6"/>
  <c r="K22" i="6"/>
  <c r="L22" i="6"/>
  <c r="M22" i="6"/>
  <c r="N22" i="6"/>
  <c r="O22" i="6"/>
  <c r="P22" i="6"/>
  <c r="J23" i="6"/>
  <c r="K23" i="6"/>
  <c r="L23" i="6"/>
  <c r="M23" i="6"/>
  <c r="N23" i="6"/>
  <c r="O23" i="6"/>
  <c r="P23" i="6"/>
  <c r="J24" i="6"/>
  <c r="K24" i="6"/>
  <c r="L24" i="6"/>
  <c r="M24" i="6"/>
  <c r="N24" i="6"/>
  <c r="O24" i="6"/>
  <c r="P24" i="6"/>
  <c r="I24" i="6"/>
  <c r="I23" i="6"/>
  <c r="I22" i="6"/>
  <c r="J21" i="6"/>
  <c r="K21" i="6"/>
  <c r="L21" i="6"/>
  <c r="M21" i="6"/>
  <c r="N21" i="6"/>
  <c r="O21" i="6"/>
  <c r="P21" i="6"/>
  <c r="I21" i="6"/>
  <c r="P17" i="6"/>
  <c r="K19" i="6"/>
  <c r="L19" i="6"/>
  <c r="M19" i="6"/>
  <c r="N19" i="6"/>
  <c r="J19" i="6"/>
  <c r="O17" i="6"/>
  <c r="J16" i="6"/>
  <c r="I16" i="6"/>
  <c r="F19" i="6"/>
  <c r="E19" i="6"/>
  <c r="D19" i="6"/>
  <c r="B19" i="6"/>
  <c r="B18" i="6"/>
  <c r="B15" i="6"/>
  <c r="F17" i="6"/>
  <c r="F16" i="6"/>
  <c r="E17" i="6"/>
  <c r="E16" i="6"/>
  <c r="D17" i="6"/>
  <c r="B17" i="6"/>
  <c r="D16" i="6"/>
  <c r="B16" i="6"/>
  <c r="A8" i="6"/>
  <c r="D42" i="9" l="1"/>
  <c r="I42" i="9" s="1"/>
  <c r="H42" i="9" s="1"/>
  <c r="D35" i="9"/>
  <c r="D36" i="9" s="1"/>
  <c r="F19" i="9"/>
  <c r="F21" i="9"/>
  <c r="F23" i="9"/>
  <c r="D30" i="9"/>
  <c r="D31" i="9" s="1"/>
  <c r="D43" i="9"/>
  <c r="I43" i="9" s="1"/>
  <c r="H43" i="9" s="1"/>
  <c r="E26" i="9"/>
  <c r="H26" i="9" s="1"/>
  <c r="F17" i="9"/>
  <c r="F22" i="9"/>
  <c r="G21" i="7"/>
  <c r="H16" i="7" s="1"/>
  <c r="K25" i="6"/>
  <c r="K26" i="6" s="1"/>
  <c r="G19" i="6"/>
  <c r="G17" i="6"/>
  <c r="G16" i="6"/>
  <c r="F26" i="9" l="1"/>
  <c r="F41" i="9" s="1"/>
  <c r="G23" i="7"/>
  <c r="H23" i="7" s="1"/>
  <c r="G24" i="7"/>
  <c r="H24" i="7" s="1"/>
  <c r="G22" i="7"/>
  <c r="H17" i="7"/>
  <c r="H21" i="7" s="1"/>
  <c r="H19" i="7"/>
  <c r="L26" i="6"/>
  <c r="G21" i="6"/>
  <c r="F44" i="9" l="1"/>
  <c r="D41" i="9"/>
  <c r="H22" i="7"/>
  <c r="H25" i="7" s="1"/>
  <c r="G25" i="7"/>
  <c r="H17" i="6"/>
  <c r="H19" i="6"/>
  <c r="G23" i="6"/>
  <c r="H23" i="6" s="1"/>
  <c r="G22" i="6"/>
  <c r="H22" i="6" s="1"/>
  <c r="G24" i="6"/>
  <c r="H24" i="6" s="1"/>
  <c r="H16" i="6"/>
  <c r="I41" i="9" l="1"/>
  <c r="H41" i="9" s="1"/>
  <c r="D44" i="9"/>
  <c r="E46" i="9" s="1"/>
  <c r="E47" i="9" s="1"/>
  <c r="H26" i="7"/>
  <c r="G26" i="7"/>
  <c r="J25" i="6"/>
  <c r="J26" i="6" s="1"/>
  <c r="I25" i="6"/>
  <c r="I26" i="6" s="1"/>
  <c r="I27" i="6" s="1"/>
  <c r="P26" i="6"/>
  <c r="N25" i="6"/>
  <c r="N26" i="6" s="1"/>
  <c r="H21" i="6"/>
  <c r="H25" i="6"/>
  <c r="G25" i="6"/>
  <c r="G26" i="6" s="1"/>
  <c r="O25" i="6"/>
  <c r="O26" i="6" s="1"/>
  <c r="M25" i="6" l="1"/>
  <c r="M26" i="6" s="1"/>
  <c r="J27" i="6"/>
  <c r="K27" i="6" s="1"/>
  <c r="L27" i="6" s="1"/>
  <c r="H26" i="6"/>
  <c r="M27" i="6" l="1"/>
  <c r="N27" i="6" s="1"/>
  <c r="O27" i="6" s="1"/>
  <c r="G27" i="6" s="1"/>
  <c r="I37" i="5" l="1"/>
  <c r="I28" i="5"/>
  <c r="I18" i="5"/>
  <c r="G18" i="5"/>
  <c r="G114" i="4"/>
  <c r="G16" i="4"/>
  <c r="I35" i="5" l="1"/>
  <c r="C34" i="5"/>
  <c r="I26" i="5"/>
  <c r="C25" i="5"/>
  <c r="I16" i="5"/>
  <c r="C15" i="5"/>
  <c r="A8" i="5"/>
  <c r="E128" i="4" l="1"/>
  <c r="G128" i="4" s="1"/>
  <c r="E127" i="4"/>
  <c r="G127" i="4" s="1"/>
  <c r="H109" i="4"/>
  <c r="B109" i="4"/>
  <c r="E76" i="4"/>
  <c r="G76" i="4" s="1"/>
  <c r="E75" i="4"/>
  <c r="G75" i="4" s="1"/>
  <c r="H60" i="4"/>
  <c r="B60" i="4"/>
  <c r="E27" i="4"/>
  <c r="G27" i="4" s="1"/>
  <c r="E26" i="4"/>
  <c r="G26" i="4" s="1"/>
  <c r="H11" i="4" l="1"/>
  <c r="B11" i="4"/>
  <c r="A8" i="4"/>
  <c r="E133" i="4"/>
  <c r="G133" i="4" s="1"/>
  <c r="H136" i="4" s="1"/>
  <c r="G119" i="4"/>
  <c r="G118" i="4"/>
  <c r="H84" i="4"/>
  <c r="H35" i="4"/>
  <c r="F6" i="4"/>
  <c r="M13" i="3"/>
  <c r="I44" i="5" l="1"/>
  <c r="E20" i="3" s="1"/>
  <c r="I32" i="5"/>
  <c r="E17" i="3" s="1"/>
  <c r="I23" i="5"/>
  <c r="E16" i="3" s="1"/>
  <c r="H23" i="4"/>
  <c r="H124" i="4"/>
  <c r="H130" i="4"/>
  <c r="G113" i="4" s="1"/>
  <c r="H115" i="4" s="1"/>
  <c r="H29" i="4"/>
  <c r="G15" i="4" s="1"/>
  <c r="H17" i="4" s="1"/>
  <c r="H72" i="4"/>
  <c r="H78" i="4"/>
  <c r="G64" i="4" s="1"/>
  <c r="H65" i="4" s="1"/>
  <c r="F58" i="4"/>
  <c r="F107" i="4"/>
  <c r="H86" i="4" l="1"/>
  <c r="F17" i="3" s="1"/>
  <c r="H37" i="4"/>
  <c r="F16" i="3" s="1"/>
  <c r="H138" i="4"/>
  <c r="F20" i="3" s="1"/>
  <c r="F142" i="4" l="1"/>
  <c r="F90" i="4"/>
  <c r="G20" i="3"/>
  <c r="G21" i="3" s="1"/>
  <c r="F91" i="4"/>
  <c r="F92" i="4"/>
  <c r="F42" i="4"/>
  <c r="G17" i="3"/>
  <c r="F43" i="4"/>
  <c r="F41" i="4"/>
  <c r="G16" i="3"/>
  <c r="F144" i="4"/>
  <c r="F143" i="4"/>
  <c r="H93" i="4" l="1"/>
  <c r="H95" i="4" s="1"/>
  <c r="H145" i="4"/>
  <c r="H147" i="4" s="1"/>
  <c r="G18" i="3"/>
  <c r="G22" i="3" s="1"/>
  <c r="H44" i="4"/>
  <c r="H46" i="4" s="1"/>
  <c r="G25" i="3" l="1"/>
  <c r="G24" i="3" l="1"/>
  <c r="G23" i="3"/>
  <c r="G26" i="3" l="1"/>
  <c r="G27" i="3" s="1"/>
  <c r="E100" i="4" l="1"/>
  <c r="E51" i="4"/>
  <c r="E152" i="4"/>
  <c r="E153" i="4"/>
  <c r="E52" i="4"/>
  <c r="E101" i="4"/>
</calcChain>
</file>

<file path=xl/sharedStrings.xml><?xml version="1.0" encoding="utf-8"?>
<sst xmlns="http://schemas.openxmlformats.org/spreadsheetml/2006/main" count="507" uniqueCount="206">
  <si>
    <t>M3</t>
  </si>
  <si>
    <t>TOTAL</t>
  </si>
  <si>
    <t>UND</t>
  </si>
  <si>
    <t>SECRETARIA DE PLANEACIÓN Y OBRAS PÚBLICAS</t>
  </si>
  <si>
    <t>CODIGO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</si>
  <si>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</si>
  <si>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</si>
  <si>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</si>
  <si>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</si>
  <si>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</si>
  <si>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</si>
  <si>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</si>
  <si>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 xml:space="preserve">PRESUPUESTO GENERAL </t>
  </si>
  <si>
    <t>ITEM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</si>
  <si>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</si>
  <si>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</si>
  <si>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</si>
  <si>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</si>
  <si>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</si>
  <si>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</si>
  <si>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</t>
  </si>
  <si>
    <t>ADMINISTRACIÓN</t>
  </si>
  <si>
    <t>IMPREVISTOS</t>
  </si>
  <si>
    <t>UTILIDAD</t>
  </si>
  <si>
    <t>TOTAL COSTO INDIRECTO</t>
  </si>
  <si>
    <t>TOTAL OBRA</t>
  </si>
  <si>
    <t>_________________________________________</t>
  </si>
  <si>
    <t xml:space="preserve">REALIZO: ING JEISSON ARLED BUESAQUILLO </t>
  </si>
  <si>
    <t>ARQ. GUILLERMO YAMID VALLEJOS BENAVIDES</t>
  </si>
  <si>
    <t>Apoyo Profesional SPOPM</t>
  </si>
  <si>
    <t>SECRETARIO DE PLANEACION Y OBRAS PUBLICAS</t>
  </si>
  <si>
    <t>SAN MIGUEL - PUTUMAYO</t>
  </si>
  <si>
    <t xml:space="preserve">Unidad: </t>
  </si>
  <si>
    <t>I</t>
  </si>
  <si>
    <t>EQUIPO</t>
  </si>
  <si>
    <t>DESCRIPCIÓN</t>
  </si>
  <si>
    <t>Tipo</t>
  </si>
  <si>
    <t>Tarifa/Hora</t>
  </si>
  <si>
    <t>Rend</t>
  </si>
  <si>
    <t>V. Unitario.</t>
  </si>
  <si>
    <t>Herremienta menor</t>
  </si>
  <si>
    <t xml:space="preserve">        SUBTOTAL.</t>
  </si>
  <si>
    <t>II</t>
  </si>
  <si>
    <t>MATERIALES EN OBRA.</t>
  </si>
  <si>
    <t>Unidad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</si>
  <si>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</si>
  <si>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</si>
  <si>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</si>
  <si>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</si>
  <si>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</si>
  <si>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</si>
  <si>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</si>
  <si>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</si>
  <si>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</si>
  <si>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</si>
  <si>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 xml:space="preserve">        SUBTOTAL</t>
  </si>
  <si>
    <t>IV</t>
  </si>
  <si>
    <t>TRANSPORTE</t>
  </si>
  <si>
    <t>Cantidad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</si>
  <si>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</si>
  <si>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</si>
  <si>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</si>
  <si>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</si>
  <si>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</si>
  <si>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</si>
  <si>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 V. UNITARIO</t>
  </si>
  <si>
    <t>TOTAL COSTOS INDIRECTOS</t>
  </si>
  <si>
    <t>TOTAL PRECIO UNITARIO.</t>
  </si>
  <si>
    <t xml:space="preserve">Reviso: </t>
  </si>
  <si>
    <t>Ing. Jeisson Arled Buesaquillo Madroñero</t>
  </si>
  <si>
    <t>Tarifa/Dia</t>
  </si>
  <si>
    <t xml:space="preserve">Cant </t>
  </si>
  <si>
    <t>MEMORIA DE CANTIDADES</t>
  </si>
  <si>
    <t>ANCHO</t>
  </si>
  <si>
    <t>LONGITUD</t>
  </si>
  <si>
    <t>No. ELEM.</t>
  </si>
  <si>
    <t>LARGO</t>
  </si>
  <si>
    <t>ALTO</t>
  </si>
  <si>
    <t>_______________________________________________</t>
  </si>
  <si>
    <t>PRELIMINARES</t>
  </si>
  <si>
    <t>Oficial de obra</t>
  </si>
  <si>
    <t>Ayudante de obra</t>
  </si>
  <si>
    <t>Redn  m3/Dia</t>
  </si>
  <si>
    <t>Dia</t>
  </si>
  <si>
    <t>Transporte suministro</t>
  </si>
  <si>
    <t>glb</t>
  </si>
  <si>
    <t>POZO SEPTICO SAN CARLOS</t>
  </si>
  <si>
    <t>Excavacion a maquina en material comun H=1.5 - 2.5m</t>
  </si>
  <si>
    <t>Excavacion manual para zanjas de redes sanitarias</t>
  </si>
  <si>
    <t>POZO SEPTICO</t>
  </si>
  <si>
    <t xml:space="preserve">Retroexcavadora </t>
  </si>
  <si>
    <t>H-M</t>
  </si>
  <si>
    <t>Compactador tipo rana</t>
  </si>
  <si>
    <t>Arena base de cimentacion</t>
  </si>
  <si>
    <t>Redn  UND/Dia</t>
  </si>
  <si>
    <t>AREA POZO SEPTICO</t>
  </si>
  <si>
    <t>EXCAVACION POZO SEPTICO</t>
  </si>
  <si>
    <t>VOLUMEN</t>
  </si>
  <si>
    <t>ZANJAS REDES</t>
  </si>
  <si>
    <t>ZANJAS DE REDES SANITARIAS A POZO</t>
  </si>
  <si>
    <t xml:space="preserve">SUMINISTRO E INSTALACION </t>
  </si>
  <si>
    <t>Suministro e instalacion pozo septico prefabricado 20.000 lts</t>
  </si>
  <si>
    <t>Tanque septico 20.000 lts prefabricado</t>
  </si>
  <si>
    <t>FLUJO DE INVERSION</t>
  </si>
  <si>
    <t>MES 1</t>
  </si>
  <si>
    <t>SEMANA 1</t>
  </si>
  <si>
    <t>SEMANA 2</t>
  </si>
  <si>
    <t>SEMANA 3</t>
  </si>
  <si>
    <t>SEMANA 4</t>
  </si>
  <si>
    <t>DESCRIPCION</t>
  </si>
  <si>
    <t>V/UNITARIO</t>
  </si>
  <si>
    <t>V/TOTAL</t>
  </si>
  <si>
    <t>TOTAL COSTO DIRECTO OBRA</t>
  </si>
  <si>
    <t>ADMINISTRACION</t>
  </si>
  <si>
    <t>TOTAL COSTO INDIRECTO OBRA</t>
  </si>
  <si>
    <t>ACUMULADO SEMANAL</t>
  </si>
  <si>
    <t>______________________________________________</t>
  </si>
  <si>
    <t>MES 2</t>
  </si>
  <si>
    <t>CRONOGRAMA DE ACTIVIDADES</t>
  </si>
  <si>
    <t>FACTOR PRESTACIONAL PARA PERSONAL PROFESIONAL, ADMINISTRATIVO Y TECNICO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</si>
  <si>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</si>
  <si>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</si>
  <si>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</si>
  <si>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</si>
  <si>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</si>
  <si>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</si>
  <si>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</si>
  <si>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</si>
  <si>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</si>
  <si>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</si>
  <si>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</si>
  <si>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</si>
  <si>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</si>
  <si>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</si>
  <si>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</si>
  <si>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</si>
  <si>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</si>
  <si>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</si>
  <si>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</si>
  <si>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</si>
  <si>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</si>
  <si>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</si>
  <si>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</si>
  <si>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</si>
  <si>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</si>
  <si>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</si>
  <si>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</si>
  <si>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</si>
  <si>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</si>
  <si>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</si>
  <si>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</si>
  <si>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</si>
  <si>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</si>
  <si>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</si>
  <si>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</si>
  <si>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</si>
  <si>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</si>
  <si>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</si>
  <si>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</si>
  <si>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</si>
  <si>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</si>
  <si>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</si>
  <si>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</si>
  <si>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</si>
  <si>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</si>
  <si>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</si>
  <si>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SECRETARIA DE PLANEACIÓN Y OBRA PÚBLICAS</t>
  </si>
  <si>
    <t>CÓDIGO</t>
  </si>
  <si>
    <t>SALARIO PERSONAL ADMINISTRATIVO DE OBRA</t>
  </si>
  <si>
    <t>PERSONAL</t>
  </si>
  <si>
    <t xml:space="preserve">SUELDO BASICO </t>
  </si>
  <si>
    <t>FACTOR PRESTACIONAL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</si>
  <si>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</si>
  <si>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</si>
  <si>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</si>
  <si>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</si>
  <si>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</si>
  <si>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</si>
  <si>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</si>
  <si>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</si>
  <si>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</si>
  <si>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</si>
  <si>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</si>
  <si>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Edicion de informes</t>
  </si>
  <si>
    <t>Seguridad Industrial</t>
  </si>
  <si>
    <t>IMPUESTOS DE OBRA</t>
  </si>
  <si>
    <t>Otras obigaciones (Impuestos de ley)</t>
  </si>
  <si>
    <t>TOTAL ADMINISTRACION</t>
  </si>
  <si>
    <t>2. IMPREVISTOS</t>
  </si>
  <si>
    <t>PORCENTAJE</t>
  </si>
  <si>
    <t>TOTAL UTILIDAD</t>
  </si>
  <si>
    <t>3. UTILIDAD</t>
  </si>
  <si>
    <t>TOTAL COSTO DIRECTO A.I.U</t>
  </si>
  <si>
    <t>RESUMEN</t>
  </si>
  <si>
    <t xml:space="preserve">ADMINISTRACION </t>
  </si>
  <si>
    <t>COSTO DIRECTO</t>
  </si>
  <si>
    <t>COSTO INDIRECTO (32%)</t>
  </si>
  <si>
    <t>SUBTOTAL</t>
  </si>
  <si>
    <t>________________________________________________</t>
  </si>
  <si>
    <t xml:space="preserve">DESGLOCE A.I.U - SUMINISTRO E INSTALACION POZO SEPTICO </t>
  </si>
  <si>
    <t>Tecnologo en obras civiles</t>
  </si>
  <si>
    <t>SEMANA 5</t>
  </si>
  <si>
    <t>SEMANA 6</t>
  </si>
  <si>
    <t>SEMANA 7</t>
  </si>
  <si>
    <t>SEMANA 8</t>
  </si>
  <si>
    <t>MEJORAMIENTO DEL SISTEMA DE TRATAMIENTO DE AGUAS RESIDUALES EN LA INSTITUCION EDUCATIVA RURAL SAN CARLOS, SEDE PRINCIPAL, EN EL MUNICIPIO DE SAN MIGUEL PUTUMAYO.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</si>
</sst>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(&quot;$&quot;\ * #,##0.000_);_(&quot;$&quot;\ * \(#,##0.000\);_(&quot;$&quot;\ * &quot;-&quot;??_);_(@_)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 &quot;$&quot;\ * #,##0_ ;_ &quot;$&quot;\ * \-#,##0_ ;_ &quot;$&quot;\ * &quot;-&quot;??_ ;_ @_ "/>
    <numFmt numFmtId="169" formatCode="_-&quot;$&quot;* #,##0_-;\-&quot;$&quot;* #,##0_-;_-&quot;$&quot;* &quot;-&quot;_-;_-@_-"/>
    <numFmt numFmtId="170" formatCode="_(&quot;$&quot;* #,##0.00_);_(&quot;$&quot;* \(#,##0.00\);_(&quot;$&quot;* &quot;-&quot;??_);_(@_)"/>
    <numFmt numFmtId="171" formatCode="_-&quot;$&quot;* #,##0.00_-;\-&quot;$&quot;* #,##0.00_-;_-&quot;$&quot;* &quot;-&quot;_-;_-@_-"/>
    <numFmt numFmtId="172" formatCode="_-* #,##0.00\ _€_-;\-* #,##0.00\ _€_-;_-* &quot;-&quot;??\ _€_-;_-@_-"/>
    <numFmt numFmtId="173" formatCode="_-[$$-240A]\ * #,##0.00_ ;_-[$$-240A]\ * \-#,##0.00\ ;_-[$$-240A]\ * &quot;-&quot;??_ ;_-@_ "/>
    <numFmt numFmtId="174" formatCode="#,##0.0"/>
    <numFmt numFmtId="175" formatCode="_-&quot;$&quot;* #,##0_-;\-&quot;$&quot;* #,##0_-;_-&quot;$&quot;* &quot;-&quot;??_-;_-@_-"/>
    <numFmt numFmtId="176" formatCode="_-&quot;$&quot;* #,##0.00_-;\-&quot;$&quot;* #,##0.00_-;_-&quot;$&quot;* &quot;-&quot;??_-;_-@_-"/>
    <numFmt numFmtId="177" formatCode="0.000"/>
    <numFmt numFmtId="178" formatCode="_-[$$-240A]\ * #,##0_ ;_-[$$-240A]\ * \-#,##0\ ;_-[$$-240A]\ * &quot;-&quot;??_ ;_-@_ "/>
    <numFmt numFmtId="179" formatCode="0.0%"/>
    <numFmt numFmtId="180" formatCode="0.00000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  <scheme val="minor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i/>
      <sz val="1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Arial Narrow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3" fillId="0" borderId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9" fontId="13" fillId="0" borderId="0" applyFont="0" applyFill="0" applyBorder="0" applyAlignment="0" applyProtection="0"/>
    <xf numFmtId="0" fontId="13" fillId="0" borderId="0"/>
    <xf numFmtId="44" fontId="18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574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166" fontId="0" fillId="0" borderId="0" xfId="3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66" fontId="0" fillId="0" borderId="0" xfId="3" applyFont="1" applyAlignment="1">
      <alignment horizontal="left"/>
    </xf>
    <xf numFmtId="166" fontId="6" fillId="0" borderId="0" xfId="3" applyFont="1" applyAlignment="1">
      <alignment horizontal="left" vertical="center" wrapText="1"/>
    </xf>
    <xf numFmtId="8" fontId="6" fillId="0" borderId="0" xfId="0" applyNumberFormat="1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67" fontId="4" fillId="2" borderId="1" xfId="3" applyNumberFormat="1" applyFont="1" applyFill="1" applyBorder="1" applyAlignment="1">
      <alignment horizontal="center" vertical="center"/>
    </xf>
    <xf numFmtId="168" fontId="4" fillId="2" borderId="1" xfId="3" applyNumberFormat="1" applyFont="1" applyFill="1" applyBorder="1" applyAlignment="1">
      <alignment horizontal="center" vertical="center"/>
    </xf>
    <xf numFmtId="168" fontId="7" fillId="2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2" fillId="0" borderId="0" xfId="3" applyFont="1"/>
    <xf numFmtId="3" fontId="4" fillId="4" borderId="1" xfId="0" applyNumberFormat="1" applyFont="1" applyFill="1" applyBorder="1" applyAlignment="1">
      <alignment horizontal="center" vertical="center"/>
    </xf>
    <xf numFmtId="167" fontId="7" fillId="2" borderId="0" xfId="3" applyNumberFormat="1" applyFont="1" applyFill="1" applyBorder="1" applyAlignment="1">
      <alignment horizontal="center" vertical="center"/>
    </xf>
    <xf numFmtId="169" fontId="2" fillId="0" borderId="0" xfId="4" applyFont="1" applyFill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70" fontId="10" fillId="0" borderId="1" xfId="3" applyNumberFormat="1" applyFont="1" applyFill="1" applyBorder="1" applyAlignment="1">
      <alignment horizontal="center" vertical="center"/>
    </xf>
    <xf numFmtId="166" fontId="9" fillId="2" borderId="1" xfId="3" applyFont="1" applyFill="1" applyBorder="1" applyAlignment="1">
      <alignment horizontal="center" vertical="center"/>
    </xf>
    <xf numFmtId="169" fontId="2" fillId="0" borderId="0" xfId="4" applyFont="1" applyFill="1"/>
    <xf numFmtId="166" fontId="11" fillId="2" borderId="1" xfId="3" applyFont="1" applyFill="1" applyBorder="1" applyAlignment="1">
      <alignment horizontal="center" vertical="center"/>
    </xf>
    <xf numFmtId="168" fontId="12" fillId="2" borderId="0" xfId="3" applyNumberFormat="1" applyFont="1" applyFill="1" applyAlignment="1">
      <alignment horizontal="center" vertical="center"/>
    </xf>
    <xf numFmtId="168" fontId="12" fillId="0" borderId="0" xfId="3" applyNumberFormat="1" applyFont="1" applyFill="1" applyAlignment="1">
      <alignment horizontal="center" vertical="center"/>
    </xf>
    <xf numFmtId="166" fontId="4" fillId="2" borderId="1" xfId="3" applyFont="1" applyFill="1" applyBorder="1" applyAlignment="1">
      <alignment horizontal="center" vertical="center"/>
    </xf>
    <xf numFmtId="166" fontId="7" fillId="2" borderId="0" xfId="3" applyFont="1" applyFill="1" applyBorder="1" applyAlignment="1">
      <alignment horizontal="center" vertical="center"/>
    </xf>
    <xf numFmtId="166" fontId="0" fillId="0" borderId="0" xfId="0" applyNumberFormat="1"/>
    <xf numFmtId="9" fontId="9" fillId="2" borderId="1" xfId="2" applyFont="1" applyFill="1" applyBorder="1"/>
    <xf numFmtId="171" fontId="9" fillId="2" borderId="1" xfId="4" applyNumberFormat="1" applyFont="1" applyFill="1" applyBorder="1"/>
    <xf numFmtId="166" fontId="14" fillId="0" borderId="0" xfId="3" applyFont="1" applyAlignment="1">
      <alignment horizontal="left"/>
    </xf>
    <xf numFmtId="166" fontId="1" fillId="0" borderId="0" xfId="3" applyFont="1" applyAlignment="1">
      <alignment horizontal="left"/>
    </xf>
    <xf numFmtId="173" fontId="5" fillId="0" borderId="1" xfId="0" applyNumberFormat="1" applyFont="1" applyBorder="1"/>
    <xf numFmtId="171" fontId="4" fillId="0" borderId="1" xfId="4" applyNumberFormat="1" applyFont="1" applyFill="1" applyBorder="1"/>
    <xf numFmtId="0" fontId="7" fillId="2" borderId="0" xfId="0" applyFont="1" applyFill="1" applyAlignment="1">
      <alignment horizontal="center" vertical="center" wrapText="1"/>
    </xf>
    <xf numFmtId="168" fontId="15" fillId="0" borderId="0" xfId="3" applyNumberFormat="1" applyFont="1" applyFill="1" applyAlignment="1">
      <alignment horizontal="left" vertical="center"/>
    </xf>
    <xf numFmtId="0" fontId="9" fillId="2" borderId="0" xfId="5" applyFont="1" applyFill="1"/>
    <xf numFmtId="167" fontId="9" fillId="2" borderId="20" xfId="3" applyNumberFormat="1" applyFont="1" applyFill="1" applyBorder="1" applyAlignment="1">
      <alignment horizontal="center" vertical="center"/>
    </xf>
    <xf numFmtId="168" fontId="9" fillId="2" borderId="20" xfId="3" applyNumberFormat="1" applyFont="1" applyFill="1" applyBorder="1" applyAlignment="1">
      <alignment horizontal="center" vertical="center"/>
    </xf>
    <xf numFmtId="4" fontId="9" fillId="2" borderId="20" xfId="5" applyNumberFormat="1" applyFont="1" applyFill="1" applyBorder="1"/>
    <xf numFmtId="3" fontId="4" fillId="2" borderId="0" xfId="5" applyNumberFormat="1" applyFont="1" applyFill="1"/>
    <xf numFmtId="3" fontId="9" fillId="2" borderId="0" xfId="5" applyNumberFormat="1" applyFont="1" applyFill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167" fontId="12" fillId="2" borderId="0" xfId="3" applyNumberFormat="1" applyFont="1" applyFill="1" applyAlignment="1">
      <alignment horizontal="center" vertical="center"/>
    </xf>
    <xf numFmtId="0" fontId="9" fillId="0" borderId="0" xfId="5" applyFont="1"/>
    <xf numFmtId="0" fontId="2" fillId="0" borderId="1" xfId="0" applyFont="1" applyBorder="1" applyAlignment="1">
      <alignment horizontal="center" vertical="center" wrapText="1"/>
    </xf>
    <xf numFmtId="164" fontId="4" fillId="4" borderId="24" xfId="5" applyNumberFormat="1" applyFont="1" applyFill="1" applyBorder="1" applyAlignment="1">
      <alignment horizontal="center" vertical="center"/>
    </xf>
    <xf numFmtId="0" fontId="4" fillId="4" borderId="27" xfId="5" applyFont="1" applyFill="1" applyBorder="1" applyAlignment="1">
      <alignment horizontal="center" vertical="center"/>
    </xf>
    <xf numFmtId="0" fontId="4" fillId="4" borderId="28" xfId="5" applyFont="1" applyFill="1" applyBorder="1" applyAlignment="1">
      <alignment horizontal="center" vertical="center"/>
    </xf>
    <xf numFmtId="0" fontId="9" fillId="2" borderId="21" xfId="5" applyFont="1" applyFill="1" applyBorder="1"/>
    <xf numFmtId="0" fontId="9" fillId="2" borderId="22" xfId="5" applyFont="1" applyFill="1" applyBorder="1"/>
    <xf numFmtId="0" fontId="4" fillId="2" borderId="1" xfId="5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/>
    </xf>
    <xf numFmtId="0" fontId="9" fillId="2" borderId="1" xfId="5" applyFont="1" applyFill="1" applyBorder="1"/>
    <xf numFmtId="4" fontId="9" fillId="2" borderId="1" xfId="5" applyNumberFormat="1" applyFont="1" applyFill="1" applyBorder="1"/>
    <xf numFmtId="173" fontId="9" fillId="2" borderId="1" xfId="6" applyNumberFormat="1" applyFont="1" applyFill="1" applyBorder="1"/>
    <xf numFmtId="4" fontId="9" fillId="2" borderId="22" xfId="5" applyNumberFormat="1" applyFont="1" applyFill="1" applyBorder="1"/>
    <xf numFmtId="166" fontId="9" fillId="2" borderId="1" xfId="3" applyFont="1" applyFill="1" applyBorder="1"/>
    <xf numFmtId="44" fontId="9" fillId="2" borderId="1" xfId="7" applyFont="1" applyFill="1" applyBorder="1"/>
    <xf numFmtId="173" fontId="9" fillId="2" borderId="1" xfId="8" applyNumberFormat="1" applyFont="1" applyFill="1" applyBorder="1"/>
    <xf numFmtId="0" fontId="9" fillId="2" borderId="7" xfId="5" applyFont="1" applyFill="1" applyBorder="1"/>
    <xf numFmtId="4" fontId="9" fillId="2" borderId="0" xfId="5" applyNumberFormat="1" applyFont="1" applyFill="1"/>
    <xf numFmtId="173" fontId="9" fillId="2" borderId="22" xfId="6" applyNumberFormat="1" applyFont="1" applyFill="1" applyBorder="1"/>
    <xf numFmtId="2" fontId="9" fillId="2" borderId="22" xfId="5" applyNumberFormat="1" applyFont="1" applyFill="1" applyBorder="1"/>
    <xf numFmtId="4" fontId="9" fillId="2" borderId="1" xfId="5" applyNumberFormat="1" applyFont="1" applyFill="1" applyBorder="1" applyAlignment="1">
      <alignment horizontal="center"/>
    </xf>
    <xf numFmtId="2" fontId="9" fillId="2" borderId="1" xfId="5" applyNumberFormat="1" applyFont="1" applyFill="1" applyBorder="1" applyAlignment="1">
      <alignment horizontal="center"/>
    </xf>
    <xf numFmtId="166" fontId="9" fillId="2" borderId="22" xfId="3" applyFont="1" applyFill="1" applyBorder="1"/>
    <xf numFmtId="169" fontId="9" fillId="2" borderId="1" xfId="4" applyFont="1" applyFill="1" applyBorder="1"/>
    <xf numFmtId="9" fontId="9" fillId="2" borderId="1" xfId="5" applyNumberFormat="1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/>
    </xf>
    <xf numFmtId="174" fontId="9" fillId="2" borderId="1" xfId="5" applyNumberFormat="1" applyFont="1" applyFill="1" applyBorder="1"/>
    <xf numFmtId="3" fontId="9" fillId="2" borderId="1" xfId="5" applyNumberFormat="1" applyFont="1" applyFill="1" applyBorder="1"/>
    <xf numFmtId="0" fontId="4" fillId="2" borderId="0" xfId="5" applyFont="1" applyFill="1"/>
    <xf numFmtId="4" fontId="4" fillId="2" borderId="0" xfId="5" applyNumberFormat="1" applyFont="1" applyFill="1"/>
    <xf numFmtId="0" fontId="9" fillId="2" borderId="9" xfId="5" applyFont="1" applyFill="1" applyBorder="1"/>
    <xf numFmtId="0" fontId="9" fillId="2" borderId="20" xfId="5" applyFont="1" applyFill="1" applyBorder="1"/>
    <xf numFmtId="3" fontId="4" fillId="2" borderId="21" xfId="5" applyNumberFormat="1" applyFont="1" applyFill="1" applyBorder="1"/>
    <xf numFmtId="3" fontId="9" fillId="2" borderId="22" xfId="5" applyNumberFormat="1" applyFont="1" applyFill="1" applyBorder="1"/>
    <xf numFmtId="3" fontId="9" fillId="2" borderId="21" xfId="5" applyNumberFormat="1" applyFont="1" applyFill="1" applyBorder="1"/>
    <xf numFmtId="3" fontId="9" fillId="2" borderId="9" xfId="5" applyNumberFormat="1" applyFont="1" applyFill="1" applyBorder="1"/>
    <xf numFmtId="3" fontId="9" fillId="2" borderId="20" xfId="5" applyNumberFormat="1" applyFont="1" applyFill="1" applyBorder="1"/>
    <xf numFmtId="3" fontId="9" fillId="2" borderId="10" xfId="5" applyNumberFormat="1" applyFont="1" applyFill="1" applyBorder="1"/>
    <xf numFmtId="164" fontId="4" fillId="4" borderId="27" xfId="5" applyNumberFormat="1" applyFont="1" applyFill="1" applyBorder="1" applyAlignment="1">
      <alignment horizontal="center" vertical="center"/>
    </xf>
    <xf numFmtId="2" fontId="9" fillId="2" borderId="1" xfId="5" applyNumberFormat="1" applyFont="1" applyFill="1" applyBorder="1" applyAlignment="1">
      <alignment horizontal="center" vertical="center"/>
    </xf>
    <xf numFmtId="4" fontId="9" fillId="2" borderId="1" xfId="5" applyNumberFormat="1" applyFont="1" applyFill="1" applyBorder="1" applyAlignment="1">
      <alignment horizontal="center" vertical="center"/>
    </xf>
    <xf numFmtId="44" fontId="9" fillId="2" borderId="1" xfId="7" applyFont="1" applyFill="1" applyBorder="1" applyAlignment="1">
      <alignment vertical="center"/>
    </xf>
    <xf numFmtId="4" fontId="13" fillId="0" borderId="14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0" fillId="0" borderId="32" xfId="0" applyBorder="1"/>
    <xf numFmtId="4" fontId="13" fillId="0" borderId="17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5" fillId="0" borderId="0" xfId="9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2" fontId="5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2" fontId="5" fillId="2" borderId="0" xfId="0" applyNumberFormat="1" applyFont="1" applyFill="1" applyAlignment="1">
      <alignment horizontal="center" vertical="center"/>
    </xf>
    <xf numFmtId="0" fontId="2" fillId="2" borderId="0" xfId="0" applyFont="1" applyFill="1"/>
    <xf numFmtId="168" fontId="12" fillId="2" borderId="0" xfId="3" applyNumberFormat="1" applyFont="1" applyFill="1" applyBorder="1" applyAlignment="1">
      <alignment horizontal="center" vertical="center"/>
    </xf>
    <xf numFmtId="0" fontId="0" fillId="2" borderId="0" xfId="0" applyFill="1"/>
    <xf numFmtId="167" fontId="12" fillId="2" borderId="0" xfId="3" applyNumberFormat="1" applyFont="1" applyFill="1" applyBorder="1" applyAlignment="1">
      <alignment horizontal="center" vertical="center"/>
    </xf>
    <xf numFmtId="44" fontId="9" fillId="2" borderId="22" xfId="1" applyFont="1" applyFill="1" applyBorder="1"/>
    <xf numFmtId="166" fontId="9" fillId="2" borderId="1" xfId="3" applyFont="1" applyFill="1" applyBorder="1" applyAlignment="1">
      <alignment vertical="center"/>
    </xf>
    <xf numFmtId="0" fontId="3" fillId="0" borderId="35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0" fontId="7" fillId="0" borderId="9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 wrapText="1"/>
    </xf>
    <xf numFmtId="167" fontId="7" fillId="4" borderId="1" xfId="3" applyNumberFormat="1" applyFont="1" applyFill="1" applyBorder="1" applyAlignment="1">
      <alignment horizontal="center" vertical="center"/>
    </xf>
    <xf numFmtId="166" fontId="0" fillId="4" borderId="1" xfId="3" applyFont="1" applyFill="1" applyBorder="1"/>
    <xf numFmtId="169" fontId="2" fillId="4" borderId="1" xfId="4" applyFont="1" applyFill="1" applyBorder="1"/>
    <xf numFmtId="10" fontId="7" fillId="2" borderId="1" xfId="2" applyNumberFormat="1" applyFont="1" applyFill="1" applyBorder="1" applyAlignment="1">
      <alignment horizontal="center" vertical="center"/>
    </xf>
    <xf numFmtId="166" fontId="0" fillId="0" borderId="1" xfId="3" applyFont="1" applyBorder="1"/>
    <xf numFmtId="169" fontId="2" fillId="0" borderId="1" xfId="4" applyFont="1" applyFill="1" applyBorder="1"/>
    <xf numFmtId="175" fontId="2" fillId="0" borderId="0" xfId="0" applyNumberFormat="1" applyFont="1"/>
    <xf numFmtId="0" fontId="2" fillId="0" borderId="1" xfId="0" applyFont="1" applyBorder="1"/>
    <xf numFmtId="168" fontId="12" fillId="4" borderId="1" xfId="3" applyNumberFormat="1" applyFont="1" applyFill="1" applyBorder="1" applyAlignment="1">
      <alignment horizontal="center" vertical="center"/>
    </xf>
    <xf numFmtId="166" fontId="2" fillId="4" borderId="1" xfId="3" applyFont="1" applyFill="1" applyBorder="1"/>
    <xf numFmtId="0" fontId="2" fillId="4" borderId="1" xfId="0" applyFont="1" applyFill="1" applyBorder="1"/>
    <xf numFmtId="168" fontId="12" fillId="0" borderId="1" xfId="3" applyNumberFormat="1" applyFont="1" applyFill="1" applyBorder="1" applyAlignment="1">
      <alignment horizontal="center" vertical="center"/>
    </xf>
    <xf numFmtId="166" fontId="2" fillId="0" borderId="1" xfId="3" applyFont="1" applyBorder="1"/>
    <xf numFmtId="176" fontId="3" fillId="0" borderId="0" xfId="0" applyNumberFormat="1" applyFont="1"/>
    <xf numFmtId="166" fontId="7" fillId="0" borderId="1" xfId="0" applyNumberFormat="1" applyFont="1" applyBorder="1"/>
    <xf numFmtId="10" fontId="7" fillId="0" borderId="1" xfId="10" applyNumberFormat="1" applyFont="1" applyFill="1" applyBorder="1"/>
    <xf numFmtId="176" fontId="7" fillId="0" borderId="1" xfId="10" applyNumberFormat="1" applyFont="1" applyFill="1" applyBorder="1" applyAlignment="1">
      <alignment horizontal="center"/>
    </xf>
    <xf numFmtId="9" fontId="12" fillId="2" borderId="1" xfId="0" applyNumberFormat="1" applyFont="1" applyFill="1" applyBorder="1" applyAlignment="1">
      <alignment horizontal="right" vertical="center"/>
    </xf>
    <xf numFmtId="166" fontId="2" fillId="0" borderId="1" xfId="0" applyNumberFormat="1" applyFont="1" applyBorder="1"/>
    <xf numFmtId="10" fontId="12" fillId="0" borderId="1" xfId="6" applyNumberFormat="1" applyFont="1" applyFill="1" applyBorder="1"/>
    <xf numFmtId="176" fontId="12" fillId="0" borderId="1" xfId="10" applyNumberFormat="1" applyFont="1" applyFill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10" fontId="12" fillId="0" borderId="1" xfId="2" applyNumberFormat="1" applyFont="1" applyFill="1" applyBorder="1"/>
    <xf numFmtId="10" fontId="7" fillId="0" borderId="1" xfId="2" applyNumberFormat="1" applyFont="1" applyFill="1" applyBorder="1"/>
    <xf numFmtId="44" fontId="7" fillId="0" borderId="1" xfId="0" applyNumberFormat="1" applyFont="1" applyBorder="1"/>
    <xf numFmtId="10" fontId="7" fillId="0" borderId="1" xfId="0" applyNumberFormat="1" applyFont="1" applyBorder="1"/>
    <xf numFmtId="0" fontId="12" fillId="0" borderId="0" xfId="0" applyFont="1"/>
    <xf numFmtId="4" fontId="3" fillId="0" borderId="1" xfId="0" applyNumberFormat="1" applyFont="1" applyBorder="1" applyAlignment="1">
      <alignment vertical="center" wrapText="1"/>
    </xf>
    <xf numFmtId="4" fontId="12" fillId="0" borderId="36" xfId="0" applyNumberFormat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/>
    </xf>
    <xf numFmtId="0" fontId="12" fillId="0" borderId="41" xfId="0" applyFont="1" applyBorder="1"/>
    <xf numFmtId="3" fontId="4" fillId="4" borderId="43" xfId="0" applyNumberFormat="1" applyFont="1" applyFill="1" applyBorder="1" applyAlignment="1">
      <alignment horizontal="center" vertical="center"/>
    </xf>
    <xf numFmtId="169" fontId="2" fillId="4" borderId="41" xfId="4" applyFont="1" applyFill="1" applyBorder="1"/>
    <xf numFmtId="0" fontId="4" fillId="2" borderId="43" xfId="0" applyFont="1" applyFill="1" applyBorder="1" applyAlignment="1">
      <alignment horizontal="center" vertical="center"/>
    </xf>
    <xf numFmtId="169" fontId="2" fillId="0" borderId="41" xfId="4" applyFont="1" applyFill="1" applyBorder="1"/>
    <xf numFmtId="0" fontId="2" fillId="4" borderId="41" xfId="0" applyFont="1" applyFill="1" applyBorder="1"/>
    <xf numFmtId="0" fontId="3" fillId="0" borderId="37" xfId="0" applyFont="1" applyBorder="1"/>
    <xf numFmtId="166" fontId="7" fillId="0" borderId="35" xfId="0" applyNumberFormat="1" applyFont="1" applyBorder="1"/>
    <xf numFmtId="10" fontId="7" fillId="0" borderId="40" xfId="10" applyNumberFormat="1" applyFont="1" applyFill="1" applyBorder="1"/>
    <xf numFmtId="10" fontId="12" fillId="0" borderId="41" xfId="6" applyNumberFormat="1" applyFont="1" applyFill="1" applyBorder="1"/>
    <xf numFmtId="10" fontId="12" fillId="0" borderId="41" xfId="2" applyNumberFormat="1" applyFont="1" applyFill="1" applyBorder="1"/>
    <xf numFmtId="166" fontId="7" fillId="0" borderId="38" xfId="0" applyNumberFormat="1" applyFont="1" applyBorder="1" applyAlignment="1">
      <alignment horizontal="center"/>
    </xf>
    <xf numFmtId="10" fontId="7" fillId="0" borderId="45" xfId="2" applyNumberFormat="1" applyFont="1" applyFill="1" applyBorder="1"/>
    <xf numFmtId="0" fontId="3" fillId="0" borderId="33" xfId="0" applyFont="1" applyBorder="1" applyAlignment="1">
      <alignment wrapText="1"/>
    </xf>
    <xf numFmtId="4" fontId="3" fillId="0" borderId="7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4" fillId="0" borderId="0" xfId="5" applyFont="1" applyAlignment="1">
      <alignment wrapText="1"/>
    </xf>
    <xf numFmtId="0" fontId="9" fillId="0" borderId="0" xfId="5" applyFont="1" applyAlignment="1">
      <alignment horizontal="left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2" borderId="36" xfId="5" applyFont="1" applyFill="1" applyBorder="1"/>
    <xf numFmtId="2" fontId="9" fillId="2" borderId="0" xfId="5" applyNumberFormat="1" applyFont="1" applyFill="1"/>
    <xf numFmtId="2" fontId="9" fillId="2" borderId="37" xfId="5" applyNumberFormat="1" applyFont="1" applyFill="1" applyBorder="1"/>
    <xf numFmtId="2" fontId="4" fillId="2" borderId="55" xfId="5" quotePrefix="1" applyNumberFormat="1" applyFont="1" applyFill="1" applyBorder="1" applyAlignment="1">
      <alignment horizontal="center"/>
    </xf>
    <xf numFmtId="0" fontId="4" fillId="2" borderId="43" xfId="5" applyFont="1" applyFill="1" applyBorder="1"/>
    <xf numFmtId="2" fontId="9" fillId="2" borderId="1" xfId="5" applyNumberFormat="1" applyFont="1" applyFill="1" applyBorder="1"/>
    <xf numFmtId="2" fontId="9" fillId="2" borderId="41" xfId="5" applyNumberFormat="1" applyFont="1" applyFill="1" applyBorder="1"/>
    <xf numFmtId="0" fontId="9" fillId="2" borderId="1" xfId="5" quotePrefix="1" applyFont="1" applyFill="1" applyBorder="1" applyAlignment="1">
      <alignment horizontal="center"/>
    </xf>
    <xf numFmtId="2" fontId="9" fillId="2" borderId="1" xfId="11" applyNumberFormat="1" applyFont="1" applyFill="1" applyBorder="1" applyAlignment="1">
      <alignment horizontal="center"/>
    </xf>
    <xf numFmtId="2" fontId="9" fillId="2" borderId="41" xfId="11" applyNumberFormat="1" applyFont="1" applyFill="1" applyBorder="1"/>
    <xf numFmtId="0" fontId="9" fillId="2" borderId="1" xfId="11" quotePrefix="1" applyFont="1" applyFill="1" applyBorder="1" applyAlignment="1">
      <alignment horizontal="center"/>
    </xf>
    <xf numFmtId="2" fontId="4" fillId="2" borderId="41" xfId="5" applyNumberFormat="1" applyFont="1" applyFill="1" applyBorder="1"/>
    <xf numFmtId="0" fontId="9" fillId="2" borderId="44" xfId="5" applyFont="1" applyFill="1" applyBorder="1"/>
    <xf numFmtId="0" fontId="9" fillId="2" borderId="38" xfId="5" applyFont="1" applyFill="1" applyBorder="1"/>
    <xf numFmtId="2" fontId="4" fillId="2" borderId="38" xfId="5" applyNumberFormat="1" applyFont="1" applyFill="1" applyBorder="1" applyAlignment="1">
      <alignment horizontal="center"/>
    </xf>
    <xf numFmtId="2" fontId="4" fillId="2" borderId="45" xfId="5" applyNumberFormat="1" applyFont="1" applyFill="1" applyBorder="1"/>
    <xf numFmtId="0" fontId="9" fillId="2" borderId="11" xfId="5" applyFont="1" applyFill="1" applyBorder="1"/>
    <xf numFmtId="0" fontId="9" fillId="2" borderId="12" xfId="5" applyFont="1" applyFill="1" applyBorder="1"/>
    <xf numFmtId="0" fontId="9" fillId="2" borderId="12" xfId="5" applyFont="1" applyFill="1" applyBorder="1" applyAlignment="1">
      <alignment horizontal="right"/>
    </xf>
    <xf numFmtId="2" fontId="9" fillId="2" borderId="12" xfId="5" applyNumberFormat="1" applyFont="1" applyFill="1" applyBorder="1"/>
    <xf numFmtId="2" fontId="9" fillId="2" borderId="13" xfId="5" applyNumberFormat="1" applyFont="1" applyFill="1" applyBorder="1"/>
    <xf numFmtId="0" fontId="2" fillId="0" borderId="36" xfId="0" applyFont="1" applyBorder="1"/>
    <xf numFmtId="4" fontId="9" fillId="2" borderId="56" xfId="5" applyNumberFormat="1" applyFont="1" applyFill="1" applyBorder="1"/>
    <xf numFmtId="3" fontId="9" fillId="2" borderId="37" xfId="5" applyNumberFormat="1" applyFont="1" applyFill="1" applyBorder="1"/>
    <xf numFmtId="3" fontId="4" fillId="2" borderId="36" xfId="5" applyNumberFormat="1" applyFont="1" applyFill="1" applyBorder="1"/>
    <xf numFmtId="3" fontId="9" fillId="2" borderId="14" xfId="5" applyNumberFormat="1" applyFont="1" applyFill="1" applyBorder="1"/>
    <xf numFmtId="0" fontId="12" fillId="2" borderId="15" xfId="0" applyFont="1" applyFill="1" applyBorder="1" applyAlignment="1">
      <alignment horizontal="center" vertical="center"/>
    </xf>
    <xf numFmtId="3" fontId="9" fillId="2" borderId="15" xfId="5" applyNumberFormat="1" applyFont="1" applyFill="1" applyBorder="1"/>
    <xf numFmtId="3" fontId="9" fillId="2" borderId="16" xfId="5" applyNumberFormat="1" applyFont="1" applyFill="1" applyBorder="1"/>
    <xf numFmtId="0" fontId="3" fillId="0" borderId="35" xfId="9" applyFont="1" applyBorder="1" applyAlignment="1">
      <alignment horizontal="center" vertical="center"/>
    </xf>
    <xf numFmtId="173" fontId="3" fillId="0" borderId="35" xfId="9" applyNumberFormat="1" applyFont="1" applyBorder="1" applyAlignment="1">
      <alignment horizontal="center" vertical="center"/>
    </xf>
    <xf numFmtId="0" fontId="2" fillId="0" borderId="0" xfId="9" applyFont="1" applyAlignment="1">
      <alignment horizontal="center"/>
    </xf>
    <xf numFmtId="0" fontId="20" fillId="0" borderId="0" xfId="9" applyFont="1"/>
    <xf numFmtId="0" fontId="3" fillId="0" borderId="1" xfId="9" applyFont="1" applyBorder="1" applyAlignment="1">
      <alignment horizontal="center" vertical="center"/>
    </xf>
    <xf numFmtId="173" fontId="3" fillId="0" borderId="1" xfId="9" applyNumberFormat="1" applyFont="1" applyBorder="1" applyAlignment="1">
      <alignment horizontal="center" vertical="center"/>
    </xf>
    <xf numFmtId="14" fontId="3" fillId="0" borderId="1" xfId="9" applyNumberFormat="1" applyFont="1" applyBorder="1" applyAlignment="1">
      <alignment horizontal="center" vertical="center"/>
    </xf>
    <xf numFmtId="0" fontId="2" fillId="0" borderId="36" xfId="9" applyFont="1" applyBorder="1" applyAlignment="1">
      <alignment vertical="center"/>
    </xf>
    <xf numFmtId="0" fontId="3" fillId="0" borderId="0" xfId="9" applyFont="1" applyAlignment="1">
      <alignment vertical="center"/>
    </xf>
    <xf numFmtId="173" fontId="3" fillId="0" borderId="0" xfId="9" applyNumberFormat="1" applyFont="1" applyAlignment="1">
      <alignment vertical="center"/>
    </xf>
    <xf numFmtId="0" fontId="3" fillId="0" borderId="37" xfId="9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9" applyFont="1" applyAlignment="1">
      <alignment horizontal="center" wrapText="1"/>
    </xf>
    <xf numFmtId="0" fontId="2" fillId="0" borderId="36" xfId="9" applyFont="1" applyBorder="1"/>
    <xf numFmtId="0" fontId="2" fillId="0" borderId="0" xfId="9" applyFont="1"/>
    <xf numFmtId="173" fontId="2" fillId="0" borderId="0" xfId="9" applyNumberFormat="1" applyFont="1"/>
    <xf numFmtId="0" fontId="2" fillId="0" borderId="37" xfId="9" applyFont="1" applyBorder="1"/>
    <xf numFmtId="0" fontId="3" fillId="5" borderId="0" xfId="9" applyFont="1" applyFill="1" applyAlignment="1">
      <alignment horizontal="center" vertical="center"/>
    </xf>
    <xf numFmtId="0" fontId="3" fillId="0" borderId="43" xfId="9" applyFont="1" applyBorder="1" applyAlignment="1">
      <alignment vertical="center"/>
    </xf>
    <xf numFmtId="0" fontId="3" fillId="0" borderId="1" xfId="9" applyFont="1" applyBorder="1" applyAlignment="1">
      <alignment horizontal="left" vertical="center"/>
    </xf>
    <xf numFmtId="0" fontId="3" fillId="0" borderId="0" xfId="9" applyFont="1" applyAlignment="1">
      <alignment horizontal="center" vertical="center"/>
    </xf>
    <xf numFmtId="0" fontId="2" fillId="0" borderId="43" xfId="9" applyFont="1" applyBorder="1" applyAlignment="1">
      <alignment vertical="center"/>
    </xf>
    <xf numFmtId="44" fontId="2" fillId="0" borderId="1" xfId="12" applyFont="1" applyBorder="1" applyAlignment="1">
      <alignment vertical="center"/>
    </xf>
    <xf numFmtId="44" fontId="2" fillId="0" borderId="0" xfId="12" applyFont="1" applyBorder="1" applyAlignment="1">
      <alignment horizontal="center" vertical="center"/>
    </xf>
    <xf numFmtId="0" fontId="3" fillId="5" borderId="0" xfId="9" applyFont="1" applyFill="1" applyAlignment="1">
      <alignment horizontal="center"/>
    </xf>
    <xf numFmtId="0" fontId="3" fillId="0" borderId="43" xfId="9" applyFont="1" applyBorder="1" applyAlignment="1">
      <alignment horizontal="center" vertical="center" wrapText="1"/>
    </xf>
    <xf numFmtId="0" fontId="3" fillId="0" borderId="1" xfId="9" applyFont="1" applyBorder="1" applyAlignment="1">
      <alignment horizontal="center" vertical="center" wrapText="1"/>
    </xf>
    <xf numFmtId="173" fontId="3" fillId="0" borderId="1" xfId="9" applyNumberFormat="1" applyFont="1" applyBorder="1" applyAlignment="1">
      <alignment horizontal="center" vertical="center" wrapText="1"/>
    </xf>
    <xf numFmtId="0" fontId="3" fillId="0" borderId="41" xfId="9" applyFont="1" applyBorder="1" applyAlignment="1">
      <alignment horizontal="center" vertical="center" wrapText="1"/>
    </xf>
    <xf numFmtId="0" fontId="3" fillId="0" borderId="0" xfId="9" applyFont="1" applyAlignment="1">
      <alignment horizontal="center" vertical="center" wrapText="1"/>
    </xf>
    <xf numFmtId="0" fontId="2" fillId="0" borderId="43" xfId="9" applyFont="1" applyBorder="1"/>
    <xf numFmtId="166" fontId="2" fillId="0" borderId="1" xfId="13" applyNumberFormat="1" applyFont="1" applyBorder="1"/>
    <xf numFmtId="9" fontId="2" fillId="0" borderId="1" xfId="9" applyNumberFormat="1" applyFont="1" applyBorder="1" applyAlignment="1">
      <alignment horizontal="center"/>
    </xf>
    <xf numFmtId="0" fontId="2" fillId="0" borderId="1" xfId="9" applyFont="1" applyBorder="1" applyAlignment="1">
      <alignment horizontal="center"/>
    </xf>
    <xf numFmtId="173" fontId="2" fillId="0" borderId="1" xfId="9" applyNumberFormat="1" applyFont="1" applyBorder="1"/>
    <xf numFmtId="10" fontId="2" fillId="0" borderId="41" xfId="9" applyNumberFormat="1" applyFont="1" applyBorder="1" applyAlignment="1">
      <alignment horizontal="right" vertical="center"/>
    </xf>
    <xf numFmtId="173" fontId="3" fillId="0" borderId="1" xfId="9" applyNumberFormat="1" applyFont="1" applyBorder="1" applyAlignment="1">
      <alignment vertical="center" wrapText="1"/>
    </xf>
    <xf numFmtId="0" fontId="3" fillId="0" borderId="41" xfId="9" applyFont="1" applyBorder="1" applyAlignment="1">
      <alignment vertical="center" wrapText="1"/>
    </xf>
    <xf numFmtId="0" fontId="2" fillId="0" borderId="1" xfId="9" applyFont="1" applyBorder="1"/>
    <xf numFmtId="173" fontId="2" fillId="0" borderId="1" xfId="12" applyNumberFormat="1" applyFont="1" applyBorder="1" applyAlignment="1">
      <alignment vertical="center" wrapText="1"/>
    </xf>
    <xf numFmtId="10" fontId="2" fillId="0" borderId="41" xfId="9" applyNumberFormat="1" applyFont="1" applyBorder="1" applyAlignment="1">
      <alignment vertical="center" wrapText="1"/>
    </xf>
    <xf numFmtId="178" fontId="2" fillId="0" borderId="1" xfId="9" applyNumberFormat="1" applyFont="1" applyBorder="1"/>
    <xf numFmtId="0" fontId="2" fillId="0" borderId="41" xfId="9" applyFont="1" applyBorder="1"/>
    <xf numFmtId="173" fontId="2" fillId="0" borderId="1" xfId="14" applyNumberFormat="1" applyFont="1" applyBorder="1" applyAlignment="1">
      <alignment vertical="center"/>
    </xf>
    <xf numFmtId="10" fontId="2" fillId="0" borderId="41" xfId="9" applyNumberFormat="1" applyFont="1" applyBorder="1" applyAlignment="1">
      <alignment vertical="center"/>
    </xf>
    <xf numFmtId="178" fontId="2" fillId="0" borderId="41" xfId="9" applyNumberFormat="1" applyFont="1" applyBorder="1"/>
    <xf numFmtId="173" fontId="2" fillId="0" borderId="1" xfId="9" applyNumberFormat="1" applyFont="1" applyBorder="1" applyAlignment="1">
      <alignment vertical="center"/>
    </xf>
    <xf numFmtId="179" fontId="2" fillId="0" borderId="41" xfId="9" applyNumberFormat="1" applyFont="1" applyBorder="1" applyAlignment="1">
      <alignment vertical="center"/>
    </xf>
    <xf numFmtId="173" fontId="3" fillId="6" borderId="1" xfId="12" applyNumberFormat="1" applyFont="1" applyFill="1" applyBorder="1" applyAlignment="1">
      <alignment horizontal="left"/>
    </xf>
    <xf numFmtId="166" fontId="3" fillId="0" borderId="0" xfId="9" applyNumberFormat="1" applyFont="1" applyAlignment="1">
      <alignment horizontal="center" vertical="center" wrapText="1"/>
    </xf>
    <xf numFmtId="44" fontId="20" fillId="0" borderId="0" xfId="9" applyNumberFormat="1" applyFont="1"/>
    <xf numFmtId="0" fontId="3" fillId="0" borderId="36" xfId="9" applyFont="1" applyBorder="1" applyAlignment="1">
      <alignment horizontal="right"/>
    </xf>
    <xf numFmtId="0" fontId="3" fillId="0" borderId="0" xfId="9" applyFont="1" applyAlignment="1">
      <alignment horizontal="right"/>
    </xf>
    <xf numFmtId="173" fontId="3" fillId="0" borderId="0" xfId="12" applyNumberFormat="1" applyFont="1" applyFill="1" applyBorder="1" applyAlignment="1"/>
    <xf numFmtId="180" fontId="3" fillId="0" borderId="37" xfId="9" applyNumberFormat="1" applyFont="1" applyBorder="1"/>
    <xf numFmtId="0" fontId="3" fillId="0" borderId="1" xfId="9" applyFont="1" applyBorder="1" applyAlignment="1">
      <alignment vertical="center"/>
    </xf>
    <xf numFmtId="0" fontId="3" fillId="0" borderId="41" xfId="9" applyFont="1" applyBorder="1" applyAlignment="1">
      <alignment vertical="center"/>
    </xf>
    <xf numFmtId="9" fontId="2" fillId="0" borderId="41" xfId="9" applyNumberFormat="1" applyFont="1" applyBorder="1" applyAlignment="1">
      <alignment horizontal="center"/>
    </xf>
    <xf numFmtId="9" fontId="3" fillId="6" borderId="41" xfId="9" applyNumberFormat="1" applyFont="1" applyFill="1" applyBorder="1" applyAlignment="1">
      <alignment horizontal="center"/>
    </xf>
    <xf numFmtId="173" fontId="3" fillId="0" borderId="0" xfId="9" applyNumberFormat="1" applyFont="1" applyAlignment="1">
      <alignment horizontal="center"/>
    </xf>
    <xf numFmtId="9" fontId="3" fillId="0" borderId="37" xfId="9" applyNumberFormat="1" applyFont="1" applyBorder="1" applyAlignment="1">
      <alignment horizontal="center"/>
    </xf>
    <xf numFmtId="9" fontId="2" fillId="0" borderId="41" xfId="15" applyFont="1" applyBorder="1" applyAlignment="1">
      <alignment horizontal="center"/>
    </xf>
    <xf numFmtId="166" fontId="2" fillId="0" borderId="0" xfId="3" applyFont="1" applyBorder="1" applyAlignment="1">
      <alignment horizontal="center"/>
    </xf>
    <xf numFmtId="166" fontId="20" fillId="0" borderId="0" xfId="3" applyFont="1"/>
    <xf numFmtId="173" fontId="20" fillId="0" borderId="0" xfId="9" applyNumberFormat="1" applyFont="1"/>
    <xf numFmtId="9" fontId="2" fillId="0" borderId="0" xfId="15" applyFont="1" applyBorder="1" applyAlignment="1">
      <alignment horizontal="center"/>
    </xf>
    <xf numFmtId="10" fontId="3" fillId="6" borderId="41" xfId="9" applyNumberFormat="1" applyFont="1" applyFill="1" applyBorder="1"/>
    <xf numFmtId="166" fontId="19" fillId="3" borderId="1" xfId="3" applyFont="1" applyFill="1" applyBorder="1" applyAlignment="1">
      <alignment vertical="center"/>
    </xf>
    <xf numFmtId="44" fontId="3" fillId="3" borderId="1" xfId="0" applyNumberFormat="1" applyFont="1" applyFill="1" applyBorder="1" applyAlignment="1">
      <alignment vertical="center"/>
    </xf>
    <xf numFmtId="166" fontId="0" fillId="3" borderId="1" xfId="3" applyFont="1" applyFill="1" applyBorder="1"/>
    <xf numFmtId="44" fontId="2" fillId="3" borderId="1" xfId="0" applyNumberFormat="1" applyFont="1" applyFill="1" applyBorder="1"/>
    <xf numFmtId="166" fontId="0" fillId="3" borderId="41" xfId="3" applyFont="1" applyFill="1" applyBorder="1"/>
    <xf numFmtId="172" fontId="5" fillId="0" borderId="2" xfId="6" applyFont="1" applyBorder="1" applyAlignment="1">
      <alignment horizontal="right"/>
    </xf>
    <xf numFmtId="172" fontId="5" fillId="0" borderId="3" xfId="6" applyFont="1" applyBorder="1" applyAlignment="1">
      <alignment horizontal="right"/>
    </xf>
    <xf numFmtId="172" fontId="5" fillId="0" borderId="4" xfId="6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9" fillId="2" borderId="2" xfId="5" applyFont="1" applyFill="1" applyBorder="1" applyAlignment="1">
      <alignment horizontal="right"/>
    </xf>
    <xf numFmtId="0" fontId="9" fillId="2" borderId="3" xfId="5" applyFont="1" applyFill="1" applyBorder="1" applyAlignment="1">
      <alignment horizontal="right"/>
    </xf>
    <xf numFmtId="0" fontId="8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right" vertical="center"/>
    </xf>
    <xf numFmtId="4" fontId="4" fillId="4" borderId="2" xfId="0" applyNumberFormat="1" applyFont="1" applyFill="1" applyBorder="1" applyAlignment="1">
      <alignment horizontal="left" vertical="center"/>
    </xf>
    <xf numFmtId="4" fontId="4" fillId="4" borderId="3" xfId="0" applyNumberFormat="1" applyFont="1" applyFill="1" applyBorder="1" applyAlignment="1">
      <alignment horizontal="left" vertical="center"/>
    </xf>
    <xf numFmtId="4" fontId="4" fillId="4" borderId="4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/>
    </xf>
    <xf numFmtId="0" fontId="9" fillId="2" borderId="4" xfId="5" applyFont="1" applyFill="1" applyBorder="1" applyAlignment="1">
      <alignment horizontal="center"/>
    </xf>
    <xf numFmtId="9" fontId="9" fillId="2" borderId="2" xfId="5" applyNumberFormat="1" applyFont="1" applyFill="1" applyBorder="1" applyAlignment="1">
      <alignment horizontal="center"/>
    </xf>
    <xf numFmtId="173" fontId="9" fillId="2" borderId="2" xfId="6" applyNumberFormat="1" applyFont="1" applyFill="1" applyBorder="1" applyAlignment="1">
      <alignment horizontal="center"/>
    </xf>
    <xf numFmtId="173" fontId="9" fillId="2" borderId="4" xfId="6" applyNumberFormat="1" applyFont="1" applyFill="1" applyBorder="1" applyAlignment="1">
      <alignment horizontal="center"/>
    </xf>
    <xf numFmtId="0" fontId="4" fillId="2" borderId="2" xfId="5" applyFont="1" applyFill="1" applyBorder="1" applyAlignment="1">
      <alignment horizontal="left"/>
    </xf>
    <xf numFmtId="0" fontId="4" fillId="2" borderId="3" xfId="5" applyFont="1" applyFill="1" applyBorder="1" applyAlignment="1">
      <alignment horizontal="left"/>
    </xf>
    <xf numFmtId="0" fontId="4" fillId="2" borderId="4" xfId="5" applyFont="1" applyFill="1" applyBorder="1" applyAlignment="1">
      <alignment horizontal="left"/>
    </xf>
    <xf numFmtId="4" fontId="9" fillId="2" borderId="2" xfId="5" applyNumberFormat="1" applyFont="1" applyFill="1" applyBorder="1" applyAlignment="1">
      <alignment horizontal="center"/>
    </xf>
    <xf numFmtId="4" fontId="9" fillId="2" borderId="4" xfId="5" applyNumberFormat="1" applyFont="1" applyFill="1" applyBorder="1" applyAlignment="1">
      <alignment horizontal="center"/>
    </xf>
    <xf numFmtId="0" fontId="16" fillId="0" borderId="2" xfId="5" applyFont="1" applyBorder="1" applyAlignment="1">
      <alignment horizontal="left"/>
    </xf>
    <xf numFmtId="0" fontId="16" fillId="0" borderId="4" xfId="5" applyFont="1" applyBorder="1" applyAlignment="1">
      <alignment horizontal="left"/>
    </xf>
    <xf numFmtId="0" fontId="9" fillId="2" borderId="2" xfId="5" applyFont="1" applyFill="1" applyBorder="1" applyAlignment="1">
      <alignment horizontal="left"/>
    </xf>
    <xf numFmtId="0" fontId="9" fillId="2" borderId="4" xfId="5" applyFont="1" applyFill="1" applyBorder="1" applyAlignment="1">
      <alignment horizontal="left"/>
    </xf>
    <xf numFmtId="0" fontId="16" fillId="0" borderId="2" xfId="5" applyFont="1" applyBorder="1" applyAlignment="1">
      <alignment horizontal="left" wrapText="1"/>
    </xf>
    <xf numFmtId="0" fontId="16" fillId="0" borderId="4" xfId="5" applyFont="1" applyBorder="1" applyAlignment="1">
      <alignment horizontal="left" wrapText="1"/>
    </xf>
    <xf numFmtId="4" fontId="4" fillId="2" borderId="7" xfId="5" applyNumberFormat="1" applyFont="1" applyFill="1" applyBorder="1" applyAlignment="1">
      <alignment horizontal="center" vertical="center" wrapText="1"/>
    </xf>
    <xf numFmtId="4" fontId="4" fillId="2" borderId="23" xfId="5" applyNumberFormat="1" applyFont="1" applyFill="1" applyBorder="1" applyAlignment="1">
      <alignment horizontal="center" vertical="center" wrapText="1"/>
    </xf>
    <xf numFmtId="4" fontId="4" fillId="2" borderId="8" xfId="5" applyNumberFormat="1" applyFont="1" applyFill="1" applyBorder="1" applyAlignment="1">
      <alignment horizontal="center" vertical="center" wrapText="1"/>
    </xf>
    <xf numFmtId="0" fontId="4" fillId="4" borderId="25" xfId="5" applyFont="1" applyFill="1" applyBorder="1" applyAlignment="1">
      <alignment horizontal="center" vertical="center" wrapText="1"/>
    </xf>
    <xf numFmtId="0" fontId="4" fillId="4" borderId="18" xfId="5" applyFont="1" applyFill="1" applyBorder="1" applyAlignment="1">
      <alignment horizontal="center" vertical="center" wrapText="1"/>
    </xf>
    <xf numFmtId="0" fontId="4" fillId="4" borderId="26" xfId="5" applyFont="1" applyFill="1" applyBorder="1" applyAlignment="1">
      <alignment horizontal="center" vertical="center" wrapText="1"/>
    </xf>
    <xf numFmtId="0" fontId="4" fillId="2" borderId="7" xfId="5" applyFont="1" applyFill="1" applyBorder="1" applyAlignment="1">
      <alignment horizontal="center" vertical="center"/>
    </xf>
    <xf numFmtId="0" fontId="4" fillId="2" borderId="8" xfId="5" applyFont="1" applyFill="1" applyBorder="1" applyAlignment="1">
      <alignment horizontal="center" vertical="center"/>
    </xf>
    <xf numFmtId="0" fontId="4" fillId="2" borderId="21" xfId="5" applyFont="1" applyFill="1" applyBorder="1" applyAlignment="1">
      <alignment horizontal="center" vertical="center"/>
    </xf>
    <xf numFmtId="0" fontId="4" fillId="2" borderId="22" xfId="5" applyFont="1" applyFill="1" applyBorder="1" applyAlignment="1">
      <alignment horizontal="center" vertical="center"/>
    </xf>
    <xf numFmtId="0" fontId="4" fillId="2" borderId="9" xfId="5" applyFont="1" applyFill="1" applyBorder="1" applyAlignment="1">
      <alignment horizontal="center" vertical="center"/>
    </xf>
    <xf numFmtId="0" fontId="4" fillId="2" borderId="1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/>
    </xf>
    <xf numFmtId="0" fontId="9" fillId="2" borderId="8" xfId="5" applyFont="1" applyFill="1" applyBorder="1" applyAlignment="1">
      <alignment horizontal="center"/>
    </xf>
    <xf numFmtId="0" fontId="9" fillId="2" borderId="21" xfId="5" applyFont="1" applyFill="1" applyBorder="1" applyAlignment="1">
      <alignment horizontal="center"/>
    </xf>
    <xf numFmtId="0" fontId="9" fillId="2" borderId="22" xfId="5" applyFont="1" applyFill="1" applyBorder="1" applyAlignment="1">
      <alignment horizontal="center"/>
    </xf>
    <xf numFmtId="0" fontId="9" fillId="2" borderId="9" xfId="5" applyFont="1" applyFill="1" applyBorder="1" applyAlignment="1">
      <alignment horizontal="center"/>
    </xf>
    <xf numFmtId="0" fontId="9" fillId="2" borderId="10" xfId="5" applyFont="1" applyFill="1" applyBorder="1" applyAlignment="1">
      <alignment horizontal="center"/>
    </xf>
    <xf numFmtId="4" fontId="4" fillId="2" borderId="5" xfId="5" applyNumberFormat="1" applyFont="1" applyFill="1" applyBorder="1" applyAlignment="1">
      <alignment horizontal="center" vertical="center" wrapText="1"/>
    </xf>
    <xf numFmtId="4" fontId="4" fillId="2" borderId="6" xfId="5" applyNumberFormat="1" applyFont="1" applyFill="1" applyBorder="1" applyAlignment="1">
      <alignment horizontal="center" vertical="center" wrapText="1"/>
    </xf>
    <xf numFmtId="4" fontId="9" fillId="2" borderId="7" xfId="5" applyNumberFormat="1" applyFont="1" applyFill="1" applyBorder="1" applyAlignment="1">
      <alignment horizontal="center" vertical="center" wrapText="1"/>
    </xf>
    <xf numFmtId="4" fontId="9" fillId="2" borderId="8" xfId="5" applyNumberFormat="1" applyFont="1" applyFill="1" applyBorder="1" applyAlignment="1">
      <alignment horizontal="center" vertical="center" wrapText="1"/>
    </xf>
    <xf numFmtId="4" fontId="9" fillId="2" borderId="9" xfId="5" applyNumberFormat="1" applyFont="1" applyFill="1" applyBorder="1" applyAlignment="1">
      <alignment horizontal="center" vertical="center" wrapText="1"/>
    </xf>
    <xf numFmtId="4" fontId="9" fillId="2" borderId="10" xfId="5" applyNumberFormat="1" applyFont="1" applyFill="1" applyBorder="1" applyAlignment="1">
      <alignment horizontal="center" vertical="center" wrapText="1"/>
    </xf>
    <xf numFmtId="4" fontId="9" fillId="2" borderId="2" xfId="5" applyNumberFormat="1" applyFont="1" applyFill="1" applyBorder="1" applyAlignment="1">
      <alignment horizontal="left"/>
    </xf>
    <xf numFmtId="4" fontId="9" fillId="2" borderId="4" xfId="5" applyNumberFormat="1" applyFont="1" applyFill="1" applyBorder="1" applyAlignment="1">
      <alignment horizontal="left"/>
    </xf>
    <xf numFmtId="4" fontId="4" fillId="2" borderId="11" xfId="5" applyNumberFormat="1" applyFont="1" applyFill="1" applyBorder="1" applyAlignment="1">
      <alignment horizontal="center" vertical="center" wrapText="1"/>
    </xf>
    <xf numFmtId="4" fontId="4" fillId="2" borderId="12" xfId="5" applyNumberFormat="1" applyFont="1" applyFill="1" applyBorder="1" applyAlignment="1">
      <alignment horizontal="center" vertical="center" wrapText="1"/>
    </xf>
    <xf numFmtId="4" fontId="4" fillId="2" borderId="13" xfId="5" applyNumberFormat="1" applyFont="1" applyFill="1" applyBorder="1" applyAlignment="1">
      <alignment horizontal="center" vertical="center" wrapText="1"/>
    </xf>
    <xf numFmtId="4" fontId="4" fillId="2" borderId="14" xfId="5" applyNumberFormat="1" applyFont="1" applyFill="1" applyBorder="1" applyAlignment="1">
      <alignment horizontal="center" vertical="center" wrapText="1"/>
    </xf>
    <xf numFmtId="4" fontId="4" fillId="2" borderId="15" xfId="5" applyNumberFormat="1" applyFont="1" applyFill="1" applyBorder="1" applyAlignment="1">
      <alignment horizontal="center" vertical="center" wrapText="1"/>
    </xf>
    <xf numFmtId="4" fontId="4" fillId="2" borderId="16" xfId="5" applyNumberFormat="1" applyFont="1" applyFill="1" applyBorder="1" applyAlignment="1">
      <alignment horizontal="center" vertical="center" wrapText="1"/>
    </xf>
    <xf numFmtId="167" fontId="9" fillId="2" borderId="0" xfId="3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9" applyFont="1" applyBorder="1" applyAlignment="1">
      <alignment horizontal="center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6" xfId="0" applyBorder="1" applyAlignment="1">
      <alignment horizontal="center"/>
    </xf>
    <xf numFmtId="4" fontId="3" fillId="0" borderId="23" xfId="0" applyNumberFormat="1" applyFont="1" applyBorder="1" applyAlignment="1">
      <alignment horizontal="center" vertical="center" wrapText="1"/>
    </xf>
    <xf numFmtId="4" fontId="3" fillId="0" borderId="20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31" xfId="0" applyNumberFormat="1" applyFont="1" applyBorder="1" applyAlignment="1">
      <alignment horizontal="center" vertical="center" wrapText="1"/>
    </xf>
    <xf numFmtId="4" fontId="3" fillId="0" borderId="32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38" xfId="0" applyNumberFormat="1" applyFont="1" applyBorder="1" applyAlignment="1">
      <alignment horizontal="center" vertical="center"/>
    </xf>
    <xf numFmtId="4" fontId="3" fillId="0" borderId="38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12" xfId="0" applyNumberFormat="1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4" fontId="12" fillId="0" borderId="14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3" fillId="0" borderId="3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43" xfId="0" applyFont="1" applyFill="1" applyBorder="1" applyAlignment="1">
      <alignment horizontal="right" vertical="center" wrapText="1"/>
    </xf>
    <xf numFmtId="0" fontId="7" fillId="2" borderId="44" xfId="0" applyFont="1" applyFill="1" applyBorder="1" applyAlignment="1">
      <alignment horizontal="right" vertical="center" wrapText="1"/>
    </xf>
    <xf numFmtId="0" fontId="7" fillId="2" borderId="38" xfId="0" applyFont="1" applyFill="1" applyBorder="1" applyAlignment="1">
      <alignment horizontal="right" vertical="center" wrapText="1"/>
    </xf>
    <xf numFmtId="0" fontId="4" fillId="2" borderId="51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right" vertical="center" wrapText="1"/>
    </xf>
    <xf numFmtId="0" fontId="7" fillId="2" borderId="35" xfId="0" applyFont="1" applyFill="1" applyBorder="1" applyAlignment="1">
      <alignment horizontal="right" vertical="center" wrapText="1"/>
    </xf>
    <xf numFmtId="0" fontId="12" fillId="2" borderId="43" xfId="0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9" fillId="2" borderId="0" xfId="5" applyNumberFormat="1" applyFont="1" applyFill="1" applyAlignment="1">
      <alignment horizontal="left" wrapText="1"/>
    </xf>
    <xf numFmtId="0" fontId="4" fillId="2" borderId="2" xfId="5" applyFont="1" applyFill="1" applyBorder="1" applyAlignment="1">
      <alignment horizontal="center"/>
    </xf>
    <xf numFmtId="0" fontId="4" fillId="2" borderId="4" xfId="5" applyFont="1" applyFill="1" applyBorder="1" applyAlignment="1">
      <alignment horizontal="center"/>
    </xf>
    <xf numFmtId="0" fontId="4" fillId="2" borderId="48" xfId="5" applyFont="1" applyFill="1" applyBorder="1" applyAlignment="1">
      <alignment horizontal="center"/>
    </xf>
    <xf numFmtId="0" fontId="4" fillId="2" borderId="47" xfId="5" applyFont="1" applyFill="1" applyBorder="1" applyAlignment="1">
      <alignment horizontal="center"/>
    </xf>
    <xf numFmtId="177" fontId="4" fillId="2" borderId="0" xfId="5" applyNumberFormat="1" applyFont="1" applyFill="1" applyAlignment="1">
      <alignment horizontal="left" wrapText="1"/>
    </xf>
    <xf numFmtId="0" fontId="9" fillId="2" borderId="2" xfId="11" applyFont="1" applyFill="1" applyBorder="1" applyAlignment="1">
      <alignment horizontal="left"/>
    </xf>
    <xf numFmtId="0" fontId="9" fillId="2" borderId="4" xfId="11" applyFont="1" applyFill="1" applyBorder="1" applyAlignment="1">
      <alignment horizontal="left"/>
    </xf>
    <xf numFmtId="0" fontId="3" fillId="0" borderId="5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2" borderId="54" xfId="5" applyFont="1" applyFill="1" applyBorder="1" applyAlignment="1">
      <alignment horizontal="center" vertical="top"/>
    </xf>
    <xf numFmtId="0" fontId="4" fillId="2" borderId="23" xfId="5" applyFont="1" applyFill="1" applyBorder="1" applyAlignment="1">
      <alignment horizontal="center" vertical="top"/>
    </xf>
    <xf numFmtId="0" fontId="4" fillId="2" borderId="8" xfId="5" applyFont="1" applyFill="1" applyBorder="1" applyAlignment="1">
      <alignment horizontal="center" vertical="top"/>
    </xf>
    <xf numFmtId="0" fontId="2" fillId="0" borderId="0" xfId="9" applyFont="1" applyAlignment="1">
      <alignment horizontal="center"/>
    </xf>
    <xf numFmtId="0" fontId="3" fillId="0" borderId="62" xfId="9" applyFont="1" applyBorder="1" applyAlignment="1">
      <alignment horizontal="right"/>
    </xf>
    <xf numFmtId="0" fontId="3" fillId="0" borderId="3" xfId="9" applyFont="1" applyBorder="1" applyAlignment="1">
      <alignment horizontal="right"/>
    </xf>
    <xf numFmtId="0" fontId="3" fillId="0" borderId="4" xfId="9" applyFont="1" applyBorder="1" applyAlignment="1">
      <alignment horizontal="right"/>
    </xf>
    <xf numFmtId="173" fontId="3" fillId="0" borderId="2" xfId="14" applyNumberFormat="1" applyFont="1" applyBorder="1" applyAlignment="1">
      <alignment horizontal="center"/>
    </xf>
    <xf numFmtId="173" fontId="3" fillId="0" borderId="42" xfId="14" applyNumberFormat="1" applyFont="1" applyBorder="1" applyAlignment="1">
      <alignment horizontal="center"/>
    </xf>
    <xf numFmtId="173" fontId="3" fillId="0" borderId="2" xfId="9" applyNumberFormat="1" applyFont="1" applyBorder="1" applyAlignment="1">
      <alignment horizontal="center"/>
    </xf>
    <xf numFmtId="173" fontId="3" fillId="0" borderId="42" xfId="9" applyNumberFormat="1" applyFont="1" applyBorder="1" applyAlignment="1">
      <alignment horizontal="center"/>
    </xf>
    <xf numFmtId="0" fontId="3" fillId="6" borderId="51" xfId="9" applyFont="1" applyFill="1" applyBorder="1" applyAlignment="1">
      <alignment horizontal="right"/>
    </xf>
    <xf numFmtId="0" fontId="3" fillId="6" borderId="49" xfId="9" applyFont="1" applyFill="1" applyBorder="1" applyAlignment="1">
      <alignment horizontal="right"/>
    </xf>
    <xf numFmtId="0" fontId="3" fillId="6" borderId="47" xfId="9" applyFont="1" applyFill="1" applyBorder="1" applyAlignment="1">
      <alignment horizontal="right"/>
    </xf>
    <xf numFmtId="173" fontId="3" fillId="6" borderId="48" xfId="9" applyNumberFormat="1" applyFont="1" applyFill="1" applyBorder="1" applyAlignment="1">
      <alignment horizontal="center"/>
    </xf>
    <xf numFmtId="173" fontId="3" fillId="6" borderId="52" xfId="9" applyNumberFormat="1" applyFont="1" applyFill="1" applyBorder="1" applyAlignment="1">
      <alignment horizontal="center"/>
    </xf>
    <xf numFmtId="0" fontId="2" fillId="0" borderId="62" xfId="9" applyFont="1" applyBorder="1" applyAlignment="1">
      <alignment horizontal="left"/>
    </xf>
    <xf numFmtId="0" fontId="2" fillId="0" borderId="4" xfId="9" applyFont="1" applyBorder="1" applyAlignment="1">
      <alignment horizontal="left"/>
    </xf>
    <xf numFmtId="173" fontId="2" fillId="0" borderId="2" xfId="9" applyNumberFormat="1" applyFont="1" applyBorder="1" applyAlignment="1">
      <alignment horizontal="center" vertical="center" wrapText="1"/>
    </xf>
    <xf numFmtId="173" fontId="2" fillId="0" borderId="4" xfId="9" applyNumberFormat="1" applyFont="1" applyBorder="1" applyAlignment="1">
      <alignment horizontal="center" vertical="center" wrapText="1"/>
    </xf>
    <xf numFmtId="0" fontId="3" fillId="6" borderId="62" xfId="9" applyFont="1" applyFill="1" applyBorder="1" applyAlignment="1">
      <alignment horizontal="center"/>
    </xf>
    <xf numFmtId="0" fontId="3" fillId="6" borderId="3" xfId="9" applyFont="1" applyFill="1" applyBorder="1" applyAlignment="1">
      <alignment horizontal="center"/>
    </xf>
    <xf numFmtId="0" fontId="3" fillId="6" borderId="4" xfId="9" applyFont="1" applyFill="1" applyBorder="1" applyAlignment="1">
      <alignment horizontal="center"/>
    </xf>
    <xf numFmtId="173" fontId="3" fillId="6" borderId="2" xfId="9" applyNumberFormat="1" applyFont="1" applyFill="1" applyBorder="1" applyAlignment="1">
      <alignment horizontal="center"/>
    </xf>
    <xf numFmtId="173" fontId="3" fillId="6" borderId="4" xfId="9" applyNumberFormat="1" applyFont="1" applyFill="1" applyBorder="1" applyAlignment="1">
      <alignment horizontal="center"/>
    </xf>
    <xf numFmtId="0" fontId="3" fillId="5" borderId="62" xfId="9" applyFont="1" applyFill="1" applyBorder="1" applyAlignment="1">
      <alignment horizontal="center"/>
    </xf>
    <xf numFmtId="0" fontId="3" fillId="5" borderId="3" xfId="9" applyFont="1" applyFill="1" applyBorder="1" applyAlignment="1">
      <alignment horizontal="center"/>
    </xf>
    <xf numFmtId="0" fontId="3" fillId="5" borderId="42" xfId="9" applyFont="1" applyFill="1" applyBorder="1" applyAlignment="1">
      <alignment horizontal="center"/>
    </xf>
    <xf numFmtId="0" fontId="3" fillId="0" borderId="62" xfId="9" applyFont="1" applyBorder="1" applyAlignment="1">
      <alignment horizontal="left"/>
    </xf>
    <xf numFmtId="0" fontId="3" fillId="0" borderId="3" xfId="9" applyFont="1" applyBorder="1" applyAlignment="1">
      <alignment horizontal="left"/>
    </xf>
    <xf numFmtId="0" fontId="3" fillId="0" borderId="42" xfId="9" applyFont="1" applyBorder="1" applyAlignment="1">
      <alignment horizontal="left"/>
    </xf>
    <xf numFmtId="0" fontId="3" fillId="0" borderId="62" xfId="9" applyFont="1" applyBorder="1" applyAlignment="1">
      <alignment horizontal="center" vertical="center"/>
    </xf>
    <xf numFmtId="0" fontId="3" fillId="0" borderId="4" xfId="9" applyFont="1" applyBorder="1" applyAlignment="1">
      <alignment horizontal="center" vertical="center"/>
    </xf>
    <xf numFmtId="0" fontId="3" fillId="0" borderId="2" xfId="9" applyFont="1" applyBorder="1" applyAlignment="1">
      <alignment horizontal="center" vertical="center" wrapText="1"/>
    </xf>
    <xf numFmtId="0" fontId="3" fillId="0" borderId="4" xfId="9" applyFont="1" applyBorder="1" applyAlignment="1">
      <alignment horizontal="center" vertical="center" wrapText="1"/>
    </xf>
    <xf numFmtId="0" fontId="3" fillId="6" borderId="62" xfId="9" applyFont="1" applyFill="1" applyBorder="1" applyAlignment="1">
      <alignment horizontal="right"/>
    </xf>
    <xf numFmtId="0" fontId="3" fillId="6" borderId="3" xfId="9" applyFont="1" applyFill="1" applyBorder="1" applyAlignment="1">
      <alignment horizontal="right"/>
    </xf>
    <xf numFmtId="0" fontId="3" fillId="6" borderId="4" xfId="9" applyFont="1" applyFill="1" applyBorder="1" applyAlignment="1">
      <alignment horizontal="right"/>
    </xf>
    <xf numFmtId="0" fontId="3" fillId="0" borderId="62" xfId="9" applyFont="1" applyBorder="1" applyAlignment="1">
      <alignment horizontal="left" vertical="center" wrapText="1"/>
    </xf>
    <xf numFmtId="0" fontId="3" fillId="0" borderId="4" xfId="9" applyFont="1" applyBorder="1" applyAlignment="1">
      <alignment horizontal="left" vertical="center" wrapText="1"/>
    </xf>
    <xf numFmtId="0" fontId="2" fillId="0" borderId="62" xfId="9" applyFont="1" applyBorder="1" applyAlignment="1">
      <alignment horizontal="left" vertical="center" wrapText="1"/>
    </xf>
    <xf numFmtId="0" fontId="2" fillId="0" borderId="4" xfId="9" applyFont="1" applyBorder="1" applyAlignment="1">
      <alignment horizontal="left" vertical="center" wrapText="1"/>
    </xf>
    <xf numFmtId="0" fontId="3" fillId="0" borderId="62" xfId="9" applyFont="1" applyBorder="1" applyAlignment="1">
      <alignment horizontal="left" wrapText="1"/>
    </xf>
    <xf numFmtId="0" fontId="3" fillId="0" borderId="4" xfId="9" applyFont="1" applyBorder="1" applyAlignment="1">
      <alignment horizontal="left" wrapText="1"/>
    </xf>
    <xf numFmtId="0" fontId="2" fillId="0" borderId="62" xfId="9" applyFont="1" applyBorder="1" applyAlignment="1">
      <alignment horizontal="left" wrapText="1"/>
    </xf>
    <xf numFmtId="0" fontId="2" fillId="0" borderId="4" xfId="9" applyFont="1" applyBorder="1" applyAlignment="1">
      <alignment horizontal="left" wrapText="1"/>
    </xf>
    <xf numFmtId="0" fontId="3" fillId="0" borderId="4" xfId="9" applyFont="1" applyBorder="1" applyAlignment="1">
      <alignment horizontal="left"/>
    </xf>
    <xf numFmtId="2" fontId="2" fillId="0" borderId="2" xfId="9" applyNumberFormat="1" applyFont="1" applyBorder="1" applyAlignment="1">
      <alignment horizontal="center" vertical="center"/>
    </xf>
    <xf numFmtId="2" fontId="2" fillId="0" borderId="4" xfId="9" applyNumberFormat="1" applyFont="1" applyBorder="1" applyAlignment="1">
      <alignment horizontal="center" vertical="center"/>
    </xf>
    <xf numFmtId="44" fontId="2" fillId="0" borderId="2" xfId="12" applyFont="1" applyBorder="1" applyAlignment="1">
      <alignment horizontal="center" vertical="center"/>
    </xf>
    <xf numFmtId="44" fontId="2" fillId="0" borderId="42" xfId="12" applyFont="1" applyBorder="1" applyAlignment="1">
      <alignment horizontal="center" vertical="center"/>
    </xf>
    <xf numFmtId="0" fontId="2" fillId="0" borderId="57" xfId="9" applyFont="1" applyBorder="1" applyAlignment="1">
      <alignment horizontal="center" vertical="center"/>
    </xf>
    <xf numFmtId="0" fontId="2" fillId="0" borderId="59" xfId="9" applyFont="1" applyBorder="1" applyAlignment="1">
      <alignment horizontal="center" vertical="center"/>
    </xf>
    <xf numFmtId="0" fontId="2" fillId="0" borderId="61" xfId="9" applyFont="1" applyBorder="1" applyAlignment="1">
      <alignment horizontal="center" vertical="center"/>
    </xf>
    <xf numFmtId="0" fontId="3" fillId="0" borderId="29" xfId="9" applyFont="1" applyBorder="1" applyAlignment="1">
      <alignment horizontal="center" vertical="center" wrapText="1"/>
    </xf>
    <xf numFmtId="0" fontId="3" fillId="0" borderId="30" xfId="9" applyFont="1" applyBorder="1" applyAlignment="1">
      <alignment horizontal="center" vertical="center" wrapText="1"/>
    </xf>
    <xf numFmtId="0" fontId="3" fillId="0" borderId="9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2" fillId="0" borderId="58" xfId="9" applyFont="1" applyBorder="1" applyAlignment="1">
      <alignment horizontal="center"/>
    </xf>
    <xf numFmtId="0" fontId="2" fillId="0" borderId="60" xfId="9" applyFont="1" applyBorder="1" applyAlignment="1">
      <alignment horizontal="center"/>
    </xf>
    <xf numFmtId="0" fontId="2" fillId="0" borderId="46" xfId="9" applyFont="1" applyBorder="1" applyAlignment="1">
      <alignment horizontal="center"/>
    </xf>
    <xf numFmtId="0" fontId="3" fillId="0" borderId="5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173" fontId="3" fillId="0" borderId="5" xfId="9" applyNumberFormat="1" applyFont="1" applyBorder="1" applyAlignment="1">
      <alignment horizontal="center" vertical="center"/>
    </xf>
    <xf numFmtId="173" fontId="3" fillId="0" borderId="6" xfId="9" applyNumberFormat="1" applyFont="1" applyBorder="1" applyAlignment="1">
      <alignment horizontal="center" vertical="center"/>
    </xf>
    <xf numFmtId="0" fontId="3" fillId="0" borderId="2" xfId="9" applyFont="1" applyBorder="1" applyAlignment="1">
      <alignment horizontal="center" vertical="center"/>
    </xf>
    <xf numFmtId="0" fontId="2" fillId="0" borderId="2" xfId="9" applyFont="1" applyBorder="1" applyAlignment="1">
      <alignment horizontal="center" vertical="center"/>
    </xf>
    <xf numFmtId="0" fontId="2" fillId="0" borderId="4" xfId="9" applyFont="1" applyBorder="1" applyAlignment="1">
      <alignment horizontal="center" vertical="center"/>
    </xf>
    <xf numFmtId="0" fontId="3" fillId="0" borderId="7" xfId="9" applyFont="1" applyBorder="1" applyAlignment="1">
      <alignment horizontal="center" vertical="center"/>
    </xf>
    <xf numFmtId="0" fontId="3" fillId="0" borderId="8" xfId="9" applyFont="1" applyBorder="1" applyAlignment="1">
      <alignment horizontal="center" vertical="center"/>
    </xf>
    <xf numFmtId="0" fontId="3" fillId="0" borderId="9" xfId="9" applyFont="1" applyBorder="1" applyAlignment="1">
      <alignment horizontal="center" vertical="center"/>
    </xf>
    <xf numFmtId="0" fontId="3" fillId="0" borderId="10" xfId="9" applyFont="1" applyBorder="1" applyAlignment="1">
      <alignment horizontal="center" vertical="center"/>
    </xf>
    <xf numFmtId="0" fontId="3" fillId="0" borderId="17" xfId="9" applyFont="1" applyBorder="1" applyAlignment="1">
      <alignment horizontal="center" wrapText="1"/>
    </xf>
    <xf numFmtId="0" fontId="3" fillId="0" borderId="18" xfId="9" applyFont="1" applyBorder="1" applyAlignment="1">
      <alignment horizontal="center" wrapText="1"/>
    </xf>
    <xf numFmtId="0" fontId="3" fillId="0" borderId="19" xfId="9" applyFont="1" applyBorder="1" applyAlignment="1">
      <alignment horizontal="center" wrapText="1"/>
    </xf>
    <xf numFmtId="0" fontId="3" fillId="5" borderId="62" xfId="9" applyFont="1" applyFill="1" applyBorder="1" applyAlignment="1">
      <alignment horizontal="center" vertical="center"/>
    </xf>
    <xf numFmtId="0" fontId="3" fillId="5" borderId="3" xfId="9" applyFont="1" applyFill="1" applyBorder="1" applyAlignment="1">
      <alignment horizontal="center" vertical="center"/>
    </xf>
    <xf numFmtId="0" fontId="3" fillId="5" borderId="42" xfId="9" applyFont="1" applyFill="1" applyBorder="1" applyAlignment="1">
      <alignment horizontal="center" vertical="center"/>
    </xf>
    <xf numFmtId="0" fontId="3" fillId="0" borderId="42" xfId="9" applyFont="1" applyBorder="1" applyAlignment="1">
      <alignment horizontal="center" vertical="center"/>
    </xf>
  </cellXfs>
  <cellStyles count="16">
    <cellStyle name="Millares 2" xfId="6" xr:uid="{E6288988-FA9D-45D4-BFEC-CFDD6FDD15A3}"/>
    <cellStyle name="Millares 3" xfId="8" xr:uid="{6D627017-6541-47EE-A35D-A5DD762551F8}"/>
    <cellStyle name="Millares 4" xfId="14" xr:uid="{2A7C0846-17D0-4745-9577-D842EBE115B5}"/>
    <cellStyle name="Moneda" xfId="1" builtinId="4"/>
    <cellStyle name="Moneda [0] 2" xfId="4" xr:uid="{C2182BF5-38A4-4B96-AF8E-E124A390EF62}"/>
    <cellStyle name="Moneda 2" xfId="3" xr:uid="{6A6565E2-5045-46A0-B893-0B612D80BB5A}"/>
    <cellStyle name="Moneda 2 2" xfId="13" xr:uid="{F88FC381-B3AD-4028-A5E5-1776F7E2BE67}"/>
    <cellStyle name="Moneda 5" xfId="12" xr:uid="{AE24207B-B820-41BA-B23C-A434C64DB589}"/>
    <cellStyle name="Moneda 6" xfId="7" xr:uid="{21F274BA-AA70-4514-9C6F-162952E32B46}"/>
    <cellStyle name="Normal" xfId="0" builtinId="0"/>
    <cellStyle name="Normal 10" xfId="11" xr:uid="{C060002D-03B8-4027-8FF6-4D22574A377B}"/>
    <cellStyle name="Normal 2" xfId="5" xr:uid="{7553C73E-803C-41F6-982C-5F7777B5BBAD}"/>
    <cellStyle name="Normal 4" xfId="9" xr:uid="{293A002D-0572-4F26-9D75-6ACA3F3C40AA}"/>
    <cellStyle name="Porcentaje" xfId="2" builtinId="5"/>
    <cellStyle name="Porcentaje 2" xfId="15" xr:uid="{79DBE559-AA1C-432A-B418-D59EF7A8B0E7}"/>
    <cellStyle name="Porcentaje 2 2" xfId="10" xr:uid="{A1A902DC-339E-48FC-96DA-9E3ABC6021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228600</xdr:colOff>
      <xdr:row>2</xdr:row>
      <xdr:rowOff>114300</xdr:rowOff>
    </xdr:from>
    <xdr:to>
      <xdr:col>26</xdr:col>
      <xdr:colOff>681716</xdr:colOff>
      <xdr:row>5</xdr:row>
      <xdr:rowOff>98714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7A2199C5-8926-4D52-BDC3-35881C156A1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679015" y="480060"/>
          <a:ext cx="1309327" cy="5829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114301</xdr:colOff>
      <xdr:row>0</xdr:row>
      <xdr:rowOff>30480</xdr:rowOff>
    </xdr:from>
    <xdr:to>
      <xdr:col>1</xdr:col>
      <xdr:colOff>784861</xdr:colOff>
      <xdr:row>5</xdr:row>
      <xdr:rowOff>82506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D283D3-FF18-4F22-9746-459A9D3A7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30480"/>
          <a:ext cx="1144385" cy="1016302"/>
        </a:xfrm>
        <a:prstGeom prst="rect">
          <a:avLst/>
        </a:prstGeom>
      </xdr:spPr>
    </xdr:pic>
    <xdr:clientData/>
  </xdr:twoCellAnchor>
  <xdr:twoCellAnchor editAs="oneCell">
    <xdr:from>
      <xdr:col>6</xdr:col>
      <xdr:colOff>121589</xdr:colOff>
      <xdr:row>0</xdr:row>
      <xdr:rowOff>53340</xdr:rowOff>
    </xdr:from>
    <xdr:to>
      <xdr:col>7</xdr:col>
      <xdr:colOff>2875</xdr:colOff>
      <xdr:row>5</xdr:row>
      <xdr:rowOff>22048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4054378B-86DD-4B61-9C63-9143923D60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36789" y="53340"/>
          <a:ext cx="1485643" cy="93298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345556</xdr:colOff>
      <xdr:row>0</xdr:row>
      <xdr:rowOff>64394</xdr:rowOff>
    </xdr:from>
    <xdr:to>
      <xdr:col>1</xdr:col>
      <xdr:colOff>957145</xdr:colOff>
      <xdr:row>5</xdr:row>
      <xdr:rowOff>52665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634A01-6ECF-4B02-B0A0-A8F1A143D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64394"/>
          <a:ext cx="1235044" cy="1201929"/>
        </a:xfrm>
        <a:prstGeom prst="rect">
          <a:avLst/>
        </a:prstGeom>
      </xdr:spPr>
    </xdr:pic>
    <xdr:clientData/>
  </xdr:twoCellAnchor>
  <xdr:twoCellAnchor editAs="oneCell">
    <xdr:from>
      <xdr:col>6</xdr:col>
      <xdr:colOff>301328</xdr:colOff>
      <xdr:row>0</xdr:row>
      <xdr:rowOff>182209</xdr:rowOff>
    </xdr:from>
    <xdr:to>
      <xdr:col>7</xdr:col>
      <xdr:colOff>697477</xdr:colOff>
      <xdr:row>4</xdr:row>
      <xdr:rowOff>96320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61C406FE-E220-4663-944D-5D80FA0FD8B1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367146" y="182209"/>
          <a:ext cx="1510057" cy="9116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290682</xdr:colOff>
      <xdr:row>52</xdr:row>
      <xdr:rowOff>104104</xdr:rowOff>
    </xdr:from>
    <xdr:ext cx="1180406" cy="1192272"/>
    <xdr:pic>
      <xdr:nvPicPr>
        <xdr:cNvPr id="6" name="Imagen 5">
          <a:extLst>
            <a:ext uri="{FF2B5EF4-FFF2-40B4-BE49-F238E27FC236}">
              <a16:creationId xmlns:a16="http://schemas.microsoft.com/office/drawing/2014/main" id="{17B401EF-0825-4F73-8FBD-557FCE48F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682" y="23861879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338926</xdr:colOff>
      <xdr:row>53</xdr:row>
      <xdr:rowOff>101895</xdr:rowOff>
    </xdr:from>
    <xdr:ext cx="1415728" cy="829199"/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03EA1B3B-4777-4FAC-92B2-1EAF5E503BB3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04744" y="24075800"/>
          <a:ext cx="1415728" cy="82919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345556</xdr:colOff>
      <xdr:row>101</xdr:row>
      <xdr:rowOff>64394</xdr:rowOff>
    </xdr:from>
    <xdr:ext cx="1180406" cy="1192272"/>
    <xdr:pic>
      <xdr:nvPicPr>
        <xdr:cNvPr id="8" name="Imagen 7">
          <a:extLst>
            <a:ext uri="{FF2B5EF4-FFF2-40B4-BE49-F238E27FC236}">
              <a16:creationId xmlns:a16="http://schemas.microsoft.com/office/drawing/2014/main" id="{8FEB3B9A-50B4-4AE9-ACB2-B70B644EF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556" y="36016939"/>
          <a:ext cx="1180406" cy="1192272"/>
        </a:xfrm>
        <a:prstGeom prst="rect">
          <a:avLst/>
        </a:prstGeom>
      </xdr:spPr>
    </xdr:pic>
    <xdr:clientData/>
  </xdr:oneCellAnchor>
  <xdr:oneCellAnchor>
    <xdr:from>
      <xdr:col>6</xdr:col>
      <xdr:colOff>354840</xdr:colOff>
      <xdr:row>101</xdr:row>
      <xdr:rowOff>96591</xdr:rowOff>
    </xdr:from>
    <xdr:ext cx="1415728" cy="731552"/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1177365E-0A74-4F48-ADD6-A0B2DF15D1E3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420658" y="36049136"/>
          <a:ext cx="1415728" cy="7315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458121</xdr:colOff>
      <xdr:row>0</xdr:row>
      <xdr:rowOff>125669</xdr:rowOff>
    </xdr:from>
    <xdr:to>
      <xdr:col>1</xdr:col>
      <xdr:colOff>595752</xdr:colOff>
      <xdr:row>5</xdr:row>
      <xdr:rowOff>35722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28604D-66B2-4576-A13E-7C4426D79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21" y="125669"/>
          <a:ext cx="1193347" cy="1048897"/>
        </a:xfrm>
        <a:prstGeom prst="rect">
          <a:avLst/>
        </a:prstGeom>
      </xdr:spPr>
    </xdr:pic>
    <xdr:clientData/>
  </xdr:twoCellAnchor>
  <xdr:twoCellAnchor editAs="oneCell">
    <xdr:from>
      <xdr:col>8</xdr:col>
      <xdr:colOff>190203</xdr:colOff>
      <xdr:row>0</xdr:row>
      <xdr:rowOff>198535</xdr:rowOff>
    </xdr:from>
    <xdr:to>
      <xdr:col>8</xdr:col>
      <xdr:colOff>1251799</xdr:colOff>
      <xdr:row>3</xdr:row>
      <xdr:rowOff>127136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EDCC720E-45CE-48DB-92AA-81BA255350E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8985068" y="198535"/>
          <a:ext cx="1061596" cy="6933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206594</xdr:colOff>
      <xdr:row>0</xdr:row>
      <xdr:rowOff>132184</xdr:rowOff>
    </xdr:from>
    <xdr:to>
      <xdr:col>1</xdr:col>
      <xdr:colOff>917045</xdr:colOff>
      <xdr:row>5</xdr:row>
      <xdr:rowOff>133956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2410DE-9E8C-4F01-9629-6AB750D64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594" y="132184"/>
          <a:ext cx="1259091" cy="974361"/>
        </a:xfrm>
        <a:prstGeom prst="rect">
          <a:avLst/>
        </a:prstGeom>
      </xdr:spPr>
    </xdr:pic>
    <xdr:clientData/>
  </xdr:twoCellAnchor>
  <xdr:twoCellAnchor editAs="oneCell">
    <xdr:from>
      <xdr:col>14</xdr:col>
      <xdr:colOff>135294</xdr:colOff>
      <xdr:row>0</xdr:row>
      <xdr:rowOff>107457</xdr:rowOff>
    </xdr:from>
    <xdr:to>
      <xdr:col>15</xdr:col>
      <xdr:colOff>628356</xdr:colOff>
      <xdr:row>5</xdr:row>
      <xdr:rowOff>137937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D3A6A57F-EEE9-4FEE-9E75-8A03F9CA0F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0526203" y="107457"/>
          <a:ext cx="1532153" cy="10030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206594</xdr:colOff>
      <xdr:row>0</xdr:row>
      <xdr:rowOff>132184</xdr:rowOff>
    </xdr:from>
    <xdr:to>
      <xdr:col>1</xdr:col>
      <xdr:colOff>917045</xdr:colOff>
      <xdr:row>5</xdr:row>
      <xdr:rowOff>133956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51F138-B69C-4A81-841E-50652BE49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594" y="132184"/>
          <a:ext cx="1259091" cy="974361"/>
        </a:xfrm>
        <a:prstGeom prst="rect">
          <a:avLst/>
        </a:prstGeom>
      </xdr:spPr>
    </xdr:pic>
    <xdr:clientData/>
  </xdr:twoCellAnchor>
  <xdr:twoCellAnchor editAs="oneCell">
    <xdr:from>
      <xdr:col>14</xdr:col>
      <xdr:colOff>135294</xdr:colOff>
      <xdr:row>0</xdr:row>
      <xdr:rowOff>107457</xdr:rowOff>
    </xdr:from>
    <xdr:to>
      <xdr:col>15</xdr:col>
      <xdr:colOff>628356</xdr:colOff>
      <xdr:row>5</xdr:row>
      <xdr:rowOff>137937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5E23971E-A9C8-40A0-8E15-ADD60925BE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4657629" y="107457"/>
          <a:ext cx="1532151" cy="10030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122766</xdr:colOff>
      <xdr:row>0</xdr:row>
      <xdr:rowOff>211667</xdr:rowOff>
    </xdr:from>
    <xdr:to>
      <xdr:col>2</xdr:col>
      <xdr:colOff>575733</xdr:colOff>
      <xdr:row>5</xdr:row>
      <xdr:rowOff>19506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DFFD0D-18E4-4053-BDD4-73EFD727C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039" y="211667"/>
          <a:ext cx="1167861" cy="1029810"/>
        </a:xfrm>
        <a:prstGeom prst="rect">
          <a:avLst/>
        </a:prstGeom>
      </xdr:spPr>
    </xdr:pic>
    <xdr:clientData/>
  </xdr:twoCellAnchor>
  <xdr:twoCellAnchor editAs="oneCell">
    <xdr:from>
      <xdr:col>6</xdr:col>
      <xdr:colOff>201083</xdr:colOff>
      <xdr:row>2</xdr:row>
      <xdr:rowOff>31750</xdr:rowOff>
    </xdr:from>
    <xdr:to>
      <xdr:col>6</xdr:col>
      <xdr:colOff>1258358</xdr:colOff>
      <xdr:row>4</xdr:row>
      <xdr:rowOff>78528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B4F468FF-63AB-41A3-878E-F1264FC0CC51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358341" y="488950"/>
          <a:ext cx="1057275" cy="60373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207721</xdr:colOff>
      <xdr:row>0</xdr:row>
      <xdr:rowOff>38100</xdr:rowOff>
    </xdr:from>
    <xdr:to>
      <xdr:col>0</xdr:col>
      <xdr:colOff>1211856</xdr:colOff>
      <xdr:row>5</xdr:row>
      <xdr:rowOff>160020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665EAD-1919-48FA-A703-C821B409A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21" y="38100"/>
          <a:ext cx="1004135" cy="1036320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0</xdr:row>
      <xdr:rowOff>152400</xdr:rowOff>
    </xdr:from>
    <xdr:to>
      <xdr:col>5</xdr:col>
      <xdr:colOff>1219200</xdr:colOff>
      <xdr:row>4</xdr:row>
      <xdr:rowOff>78105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AD8145E0-BC07-4490-B1BB-6936FB0BDA68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227743" y="152400"/>
          <a:ext cx="1057275" cy="657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2\Carpetas%20Compartidas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2\Carpetas%20Compartidas\PROGRAMACION%202007\PROPUESTA%20ORQUIDEA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EISSON\Desktop\ALCALDIA%20DORADA\PUENTES\PUENTES\LA%20GUISITA\LA%20GUISITA.xlsx" TargetMode="External"/><Relationship Id="rId1" Type="http://schemas.openxmlformats.org/officeDocument/2006/relationships/externalLinkPath" Target="/Users/JEISSON/Desktop/ALCALDIA%20DORADA/PUENTES/PUENTES/LA%20GUISITA/LA%20GUISITA.xlsx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EISSON\Desktop\ALCALDIA%20DORADA\MARIA%20AUXILIADORA\MARIA%20AUXILIADORA.xlsx" TargetMode="External"/><Relationship Id="rId1" Type="http://schemas.openxmlformats.org/officeDocument/2006/relationships/externalLinkPath" Target="/Users/JEISSON/Desktop/ALCALDIA%20DORADA/MARIA%20AUXILIADORA/MARIA%20AUXILIADO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UTOMATICA"/>
      <sheetName val="4. Ficha tecnica por actividad"/>
      <sheetName val="Listas"/>
      <sheetName val="3. Mediciones"/>
      <sheetName val="0. Tareas"/>
      <sheetName val="1. Estructura WBS"/>
      <sheetName val="PRESUPUESTO"/>
      <sheetName val="Base Da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1,1"/>
      <sheetName val="12"/>
      <sheetName val="13"/>
      <sheetName val="14"/>
      <sheetName val="15"/>
      <sheetName val="16"/>
      <sheetName val="17"/>
      <sheetName val="17,1"/>
      <sheetName val="17,2"/>
      <sheetName val="18"/>
      <sheetName val="18,1"/>
      <sheetName val="18,2"/>
      <sheetName val="19"/>
      <sheetName val="19,1"/>
      <sheetName val="19,2"/>
      <sheetName val="20"/>
      <sheetName val="21"/>
      <sheetName val="22"/>
      <sheetName val="23"/>
      <sheetName val="26"/>
      <sheetName val="27"/>
      <sheetName val="28"/>
      <sheetName val="29"/>
      <sheetName val="31"/>
      <sheetName val="30"/>
      <sheetName val="32"/>
      <sheetName val="33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9.7999954223632813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20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62.5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74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274.949951171875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8.55999755859375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427.3076171875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3636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1212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181.7999267578125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181.7999267578125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54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14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249.5999755859375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200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16968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175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16260.9921875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175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1236.037109375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808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1854.056640625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1346.666015625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55045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685.39990234375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8904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1251.19921875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441.268798828125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125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881.67919921875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125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535.2998046875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650.44970703125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50.853485107421875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165.0499267578125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53.529998779296875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75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107.05999755859375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600.5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808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25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1111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25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46965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825.14990234375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1224.119140625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650.44970703125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  <sheetName val="LISTA DE PRECIOS"/>
      <sheetName val="PARAFISC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ICO"/>
      <sheetName val="PRESUPUESTO"/>
      <sheetName val="APUS"/>
      <sheetName val="MEMORIA CANTIDADES"/>
      <sheetName val="Memoria de Cantidades"/>
      <sheetName val="F.M "/>
      <sheetName val="FLUJO DE INVERSION "/>
      <sheetName val="CRONOGRAMA"/>
      <sheetName val="DESGLOSE AIU"/>
      <sheetName val="BASICOS RURAL"/>
    </sheetNames>
    <sheetDataSet>
      <sheetData sheetId="0"/>
      <sheetData sheetId="1">
        <row r="6">
          <cell r="F6">
            <v>45402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ICO"/>
      <sheetName val="PRESUPUESTO"/>
      <sheetName val="APUS"/>
      <sheetName val="MEMORIA CANTIDADES"/>
      <sheetName val="Memoria de Cantidades"/>
      <sheetName val="FLUJO DE INVERSION "/>
      <sheetName val=" CRONOGRAMA"/>
      <sheetName val="F.M "/>
      <sheetName val="DESGLOSE AIU"/>
    </sheetNames>
    <sheetDataSet>
      <sheetData sheetId="0"/>
      <sheetData sheetId="1">
        <row r="6">
          <cell r="F6">
            <v>45402</v>
          </cell>
        </row>
        <row r="37">
          <cell r="G37">
            <v>8113869.6100000003</v>
          </cell>
        </row>
        <row r="38">
          <cell r="G38">
            <v>601027.38</v>
          </cell>
        </row>
        <row r="39">
          <cell r="G39">
            <v>901541.07</v>
          </cell>
        </row>
      </sheetData>
      <sheetData sheetId="2"/>
      <sheetData sheetId="3"/>
      <sheetData sheetId="4"/>
      <sheetData sheetId="5"/>
      <sheetData sheetId="6"/>
      <sheetData sheetId="7">
        <row r="33">
          <cell r="G33">
            <v>1.75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48B1-F852-4EE5-83F7-09B425C9D6CC}">
  <sheetPr>
    <pageSetUpPr fitToPage="1"/>
  </sheetPr>
  <dimension ref="A1:AB35"/>
  <sheetViews>
    <sheetView showGridLines="0" tabSelected="1" view="pageBreakPreview" zoomScaleNormal="100" zoomScaleSheetLayoutView="100" workbookViewId="0">
      <selection activeCell="A25" sqref="A25:E25"/>
    </sheetView>
  </sheetViews>
  <sheetFormatPr baseColWidth="10" defaultColWidth="11.44140625" defaultRowHeight="14.4" x14ac:dyDescent="0.3"/>
  <cols>
    <col min="1" max="1" width="6.33203125" style="52" customWidth="1"/>
    <col min="2" max="2" width="12.6640625" style="52" customWidth="1"/>
    <col min="3" max="3" width="58.21875" style="53" customWidth="1"/>
    <col min="4" max="4" width="8.88671875" style="52" customWidth="1"/>
    <col min="5" max="5" width="9.33203125" style="52" customWidth="1"/>
    <col min="6" max="6" width="14" style="54" customWidth="1"/>
    <col min="7" max="7" width="21.44140625" style="33" customWidth="1"/>
    <col min="8" max="8" width="13.88671875" style="33" bestFit="1" customWidth="1"/>
    <col min="9" max="9" width="26.109375" style="34" customWidth="1"/>
    <col min="10" max="10" width="19.21875" style="23" customWidth="1"/>
    <col min="11" max="11" width="17.6640625" style="23" customWidth="1"/>
    <col min="12" max="12" width="16.6640625" style="3" customWidth="1"/>
    <col min="13" max="13" width="23.33203125" style="3" customWidth="1"/>
    <col min="14" max="14" width="23.6640625" style="3" customWidth="1"/>
    <col min="15" max="15" width="26.33203125" style="3" customWidth="1"/>
    <col min="16" max="16" width="23.88671875" style="3" customWidth="1"/>
    <col min="17" max="17" width="17.88671875" style="3" bestFit="1" customWidth="1"/>
    <col min="18" max="18" width="11.44140625" style="3"/>
    <col min="19" max="19" width="30" style="3" customWidth="1"/>
    <col min="20" max="20" width="22.109375" style="4" customWidth="1"/>
    <col min="21" max="16384" width="11.44140625" style="3"/>
  </cols>
  <sheetData>
    <row r="1" spans="1:27" ht="12.8" customHeight="1" x14ac:dyDescent="0.3">
      <c r="A1" s="303"/>
      <c r="B1" s="303"/>
      <c r="C1" s="304" t="s">
        <v>3</v>
      </c>
      <c r="D1" s="306" t="s">
        <v>4</v>
      </c>
      <c r="E1" s="307"/>
      <c r="F1" s="1">
        <v>103</v>
      </c>
      <c r="G1" s="308"/>
      <c r="H1" s="2"/>
      <c r="I1"/>
      <c r="J1"/>
      <c r="K1"/>
      <c r="L1"/>
      <c r="T1" s="3"/>
      <c r="AA1" s="4"/>
    </row>
    <row r="2" spans="1:27" ht="16.55" customHeight="1" x14ac:dyDescent="0.3">
      <c r="A2" s="303"/>
      <c r="B2" s="303"/>
      <c r="C2" s="305"/>
      <c r="D2" s="309" t="s">
        <v>5</v>
      </c>
      <c r="E2" s="310"/>
      <c r="F2" s="313">
        <v>51</v>
      </c>
      <c r="G2" s="308"/>
      <c r="H2" s="2"/>
      <c r="I2"/>
      <c r="J2"/>
      <c r="K2"/>
      <c r="L2"/>
      <c r="T2" s="3"/>
      <c r="AA2" s="4"/>
    </row>
    <row r="3" spans="1:27" ht="16.55" customHeight="1" x14ac:dyDescent="0.3">
      <c r="A3" s="303"/>
      <c r="B3" s="303"/>
      <c r="C3" s="5" t="s">
        <v>6</v>
      </c>
      <c r="D3" s="311"/>
      <c r="E3" s="312"/>
      <c r="F3" s="314"/>
      <c r="G3" s="308"/>
      <c r="H3" s="2"/>
      <c r="I3"/>
      <c r="J3"/>
      <c r="K3"/>
      <c r="L3"/>
      <c r="T3" s="3"/>
      <c r="AA3" s="4"/>
    </row>
    <row r="4" spans="1:27" ht="15.05" x14ac:dyDescent="0.3">
      <c r="A4" s="303"/>
      <c r="B4" s="303"/>
      <c r="C4" s="6" t="s">
        <v>7</v>
      </c>
      <c r="D4" s="315" t="s">
        <v>8</v>
      </c>
      <c r="E4" s="316"/>
      <c r="F4" s="7">
        <v>1</v>
      </c>
      <c r="G4" s="308"/>
      <c r="H4" s="2"/>
      <c r="I4"/>
      <c r="J4"/>
      <c r="K4"/>
      <c r="L4"/>
      <c r="T4" s="3"/>
      <c r="AA4" s="4"/>
    </row>
    <row r="5" spans="1:27" ht="15.75" customHeight="1" x14ac:dyDescent="0.3">
      <c r="A5" s="303"/>
      <c r="B5" s="303"/>
      <c r="C5" s="317" t="s">
        <v>9</v>
      </c>
      <c r="D5" s="317" t="s">
        <v>10</v>
      </c>
      <c r="E5" s="317"/>
      <c r="F5" s="5" t="s">
        <v>11</v>
      </c>
      <c r="G5" s="308"/>
      <c r="H5" s="2"/>
      <c r="I5"/>
      <c r="J5"/>
      <c r="K5"/>
      <c r="L5"/>
      <c r="T5" s="3"/>
      <c r="AA5" s="4"/>
    </row>
    <row r="6" spans="1:27" ht="12.8" customHeight="1" x14ac:dyDescent="0.3">
      <c r="A6" s="303"/>
      <c r="B6" s="303"/>
      <c r="C6" s="317"/>
      <c r="D6" s="317"/>
      <c r="E6" s="317"/>
      <c r="F6" s="8">
        <v>45402</v>
      </c>
      <c r="G6" s="308"/>
      <c r="H6" s="2"/>
      <c r="I6"/>
      <c r="J6"/>
      <c r="K6"/>
      <c r="L6"/>
      <c r="T6" s="3"/>
      <c r="AA6" s="4"/>
    </row>
    <row r="7" spans="1:27" ht="12.8" customHeight="1" thickBot="1" x14ac:dyDescent="0.35">
      <c r="A7" s="9"/>
      <c r="B7" s="9"/>
      <c r="C7" s="9"/>
      <c r="D7" s="9"/>
      <c r="E7" s="9"/>
      <c r="F7" s="9"/>
      <c r="G7" s="10"/>
      <c r="H7" s="10"/>
      <c r="I7"/>
      <c r="J7"/>
      <c r="K7"/>
      <c r="L7"/>
      <c r="T7" s="3"/>
      <c r="AA7" s="4"/>
    </row>
    <row r="8" spans="1:27" ht="20.149999999999999" customHeight="1" x14ac:dyDescent="0.3">
      <c r="A8" s="318" t="s">
        <v>205</v>
      </c>
      <c r="B8" s="319"/>
      <c r="C8" s="319"/>
      <c r="D8" s="319"/>
      <c r="E8" s="319"/>
      <c r="F8" s="319"/>
      <c r="G8" s="320"/>
      <c r="H8" s="11"/>
      <c r="I8"/>
      <c r="J8"/>
      <c r="K8"/>
      <c r="L8"/>
      <c r="T8" s="3"/>
      <c r="AA8" s="4"/>
    </row>
    <row r="9" spans="1:27" ht="19.350000000000001" customHeight="1" thickBot="1" x14ac:dyDescent="0.35">
      <c r="A9" s="321"/>
      <c r="B9" s="322"/>
      <c r="C9" s="322"/>
      <c r="D9" s="322"/>
      <c r="E9" s="322"/>
      <c r="F9" s="322"/>
      <c r="G9" s="323"/>
      <c r="H9" s="11"/>
      <c r="I9"/>
      <c r="J9"/>
      <c r="K9"/>
      <c r="L9"/>
      <c r="T9" s="3"/>
      <c r="AA9" s="4"/>
    </row>
    <row r="10" spans="1:27" ht="16.399999999999999" customHeight="1" thickBot="1" x14ac:dyDescent="0.35">
      <c r="A10" s="9"/>
      <c r="B10" s="9"/>
      <c r="C10" s="9"/>
      <c r="D10" s="9"/>
      <c r="E10" s="9"/>
      <c r="F10" s="9"/>
      <c r="G10" s="2"/>
      <c r="H10" s="2"/>
      <c r="I10"/>
      <c r="J10"/>
      <c r="K10" s="12"/>
      <c r="L10" s="13"/>
      <c r="T10" s="3"/>
      <c r="AA10" s="4"/>
    </row>
    <row r="11" spans="1:27" ht="18.2" customHeight="1" thickBot="1" x14ac:dyDescent="0.35">
      <c r="A11" s="324" t="s">
        <v>12</v>
      </c>
      <c r="B11" s="325"/>
      <c r="C11" s="325"/>
      <c r="D11" s="325"/>
      <c r="E11" s="325"/>
      <c r="F11" s="325"/>
      <c r="G11" s="326"/>
      <c r="H11" s="2"/>
      <c r="I11"/>
      <c r="J11" s="14"/>
      <c r="K11" s="15"/>
      <c r="L11" s="13"/>
      <c r="T11" s="3"/>
      <c r="AA11" s="4"/>
    </row>
    <row r="12" spans="1:27" ht="13.1" customHeight="1" x14ac:dyDescent="0.3">
      <c r="A12" s="9"/>
      <c r="B12" s="9"/>
      <c r="C12" s="9"/>
      <c r="D12" s="9"/>
      <c r="E12" s="9"/>
      <c r="F12" s="9"/>
      <c r="G12" s="2"/>
      <c r="H12" s="2"/>
      <c r="I12" s="12"/>
      <c r="J12" s="14"/>
      <c r="K12" s="16"/>
      <c r="L12" s="17"/>
    </row>
    <row r="13" spans="1:27" ht="13.1" customHeight="1" x14ac:dyDescent="0.3">
      <c r="A13" s="18" t="s">
        <v>13</v>
      </c>
      <c r="B13" s="327" t="s">
        <v>14</v>
      </c>
      <c r="C13" s="327"/>
      <c r="D13" s="18" t="s">
        <v>15</v>
      </c>
      <c r="E13" s="18" t="s">
        <v>16</v>
      </c>
      <c r="F13" s="19" t="s">
        <v>17</v>
      </c>
      <c r="G13" s="20" t="s">
        <v>18</v>
      </c>
      <c r="H13" s="21"/>
      <c r="I13" s="22"/>
      <c r="J13" s="14"/>
      <c r="K13" s="16"/>
      <c r="L13" s="17"/>
      <c r="M13" s="23">
        <f>450000/9</f>
        <v>50000</v>
      </c>
    </row>
    <row r="14" spans="1:27" ht="13.1" customHeight="1" x14ac:dyDescent="0.3">
      <c r="A14" s="328" t="s">
        <v>86</v>
      </c>
      <c r="B14" s="329"/>
      <c r="C14" s="329"/>
      <c r="D14" s="329"/>
      <c r="E14" s="329"/>
      <c r="F14" s="329"/>
      <c r="G14" s="330"/>
      <c r="H14" s="21"/>
      <c r="I14" s="22"/>
      <c r="J14" s="14"/>
      <c r="K14" s="16"/>
      <c r="L14" s="17"/>
    </row>
    <row r="15" spans="1:27" s="23" customFormat="1" ht="17.2" customHeight="1" x14ac:dyDescent="0.3">
      <c r="A15" s="24">
        <v>1</v>
      </c>
      <c r="B15" s="299" t="s">
        <v>79</v>
      </c>
      <c r="C15" s="300"/>
      <c r="D15" s="300"/>
      <c r="E15" s="300"/>
      <c r="F15" s="300"/>
      <c r="G15" s="301"/>
      <c r="H15" s="25"/>
      <c r="I15" s="12"/>
      <c r="J15" s="15"/>
      <c r="K15" s="12"/>
      <c r="L15" s="26"/>
      <c r="M15" s="3"/>
      <c r="N15" s="3"/>
      <c r="O15" s="3"/>
      <c r="P15" s="3"/>
      <c r="Q15" s="3"/>
      <c r="R15" s="3"/>
      <c r="S15" s="3"/>
      <c r="T15" s="4"/>
      <c r="U15" s="3"/>
      <c r="V15" s="3"/>
      <c r="W15" s="3"/>
      <c r="X15" s="3"/>
      <c r="Y15" s="3"/>
      <c r="Z15" s="3"/>
      <c r="AA15" s="3"/>
    </row>
    <row r="16" spans="1:27" s="23" customFormat="1" ht="15.05" x14ac:dyDescent="0.3">
      <c r="A16" s="18">
        <v>1.1000000000000001</v>
      </c>
      <c r="B16" s="302" t="s">
        <v>87</v>
      </c>
      <c r="C16" s="302"/>
      <c r="D16" s="27" t="s">
        <v>0</v>
      </c>
      <c r="E16" s="28">
        <f>'MEMORIA CANTIDADES'!I23</f>
        <v>27.5</v>
      </c>
      <c r="F16" s="29">
        <f>APUS!H37</f>
        <v>37383.339999999997</v>
      </c>
      <c r="G16" s="30">
        <f t="shared" ref="G16:G17" si="0">+ROUND(E16*F16,2)</f>
        <v>1028041.85</v>
      </c>
      <c r="H16" s="25"/>
      <c r="I16" s="12"/>
      <c r="J16" s="12"/>
      <c r="K16" s="12"/>
      <c r="L16" s="31"/>
      <c r="M16" s="3"/>
      <c r="N16" s="3"/>
      <c r="O16" s="3"/>
      <c r="P16" s="3"/>
      <c r="Q16" s="3"/>
      <c r="R16" s="3"/>
      <c r="S16" s="3"/>
      <c r="T16" s="4"/>
      <c r="U16" s="3"/>
      <c r="V16" s="3"/>
      <c r="W16" s="3"/>
      <c r="X16" s="3"/>
      <c r="Y16" s="3"/>
      <c r="Z16" s="3"/>
      <c r="AA16" s="3"/>
    </row>
    <row r="17" spans="1:28" s="23" customFormat="1" ht="15.05" x14ac:dyDescent="0.3">
      <c r="A17" s="18">
        <v>1.2</v>
      </c>
      <c r="B17" s="297" t="s">
        <v>88</v>
      </c>
      <c r="C17" s="297"/>
      <c r="D17" s="27" t="s">
        <v>0</v>
      </c>
      <c r="E17" s="28">
        <f>'MEMORIA CANTIDADES'!I32</f>
        <v>35</v>
      </c>
      <c r="F17" s="29">
        <f>APUS!H86</f>
        <v>45500</v>
      </c>
      <c r="G17" s="30">
        <f t="shared" si="0"/>
        <v>1592500</v>
      </c>
      <c r="H17" s="25"/>
      <c r="I17" s="12"/>
      <c r="J17" s="12"/>
      <c r="K17" s="12"/>
      <c r="L17" s="31"/>
      <c r="M17" s="3"/>
      <c r="N17" s="3"/>
      <c r="O17" s="3"/>
      <c r="P17" s="3"/>
      <c r="Q17" s="3"/>
      <c r="R17" s="3"/>
      <c r="S17" s="3"/>
      <c r="T17" s="4"/>
      <c r="U17" s="3"/>
      <c r="V17" s="3"/>
      <c r="W17" s="3"/>
      <c r="X17" s="3"/>
      <c r="Y17" s="3"/>
      <c r="Z17" s="3"/>
      <c r="AA17" s="3"/>
    </row>
    <row r="18" spans="1:28" ht="15.05" x14ac:dyDescent="0.3">
      <c r="A18" s="18"/>
      <c r="B18" s="298" t="s">
        <v>19</v>
      </c>
      <c r="C18" s="298"/>
      <c r="D18" s="298"/>
      <c r="E18" s="298"/>
      <c r="F18" s="298"/>
      <c r="G18" s="32">
        <f>ROUND(SUM(G16:G17),2)</f>
        <v>2620541.85</v>
      </c>
    </row>
    <row r="19" spans="1:28" s="23" customFormat="1" ht="17.2" customHeight="1" x14ac:dyDescent="0.3">
      <c r="A19" s="24">
        <v>2</v>
      </c>
      <c r="B19" s="299" t="s">
        <v>89</v>
      </c>
      <c r="C19" s="300"/>
      <c r="D19" s="300"/>
      <c r="E19" s="300"/>
      <c r="F19" s="300"/>
      <c r="G19" s="301"/>
      <c r="H19" s="25"/>
      <c r="I19" s="12"/>
      <c r="J19" s="15"/>
      <c r="K19" s="12"/>
      <c r="L19" s="26"/>
      <c r="M19" s="3"/>
      <c r="N19" s="3"/>
      <c r="O19" s="3"/>
      <c r="P19" s="3"/>
      <c r="Q19" s="3"/>
      <c r="R19" s="3"/>
      <c r="S19" s="3"/>
      <c r="T19" s="4"/>
      <c r="U19" s="3"/>
      <c r="V19" s="3"/>
      <c r="W19" s="3"/>
      <c r="X19" s="3"/>
      <c r="Y19" s="3"/>
      <c r="Z19" s="3"/>
      <c r="AA19" s="3"/>
    </row>
    <row r="20" spans="1:28" s="23" customFormat="1" ht="15.05" x14ac:dyDescent="0.3">
      <c r="A20" s="18">
        <v>2.1</v>
      </c>
      <c r="B20" s="302" t="s">
        <v>101</v>
      </c>
      <c r="C20" s="302"/>
      <c r="D20" s="27" t="s">
        <v>2</v>
      </c>
      <c r="E20" s="28">
        <f>'MEMORIA CANTIDADES'!I44</f>
        <v>1</v>
      </c>
      <c r="F20" s="29">
        <f>APUS!H138</f>
        <v>34515821</v>
      </c>
      <c r="G20" s="30">
        <f t="shared" ref="G20" si="1">+ROUND(E20*F20,2)</f>
        <v>34515821</v>
      </c>
      <c r="H20" s="25"/>
      <c r="I20" s="12"/>
      <c r="J20" s="12"/>
      <c r="K20" s="12"/>
      <c r="L20" s="31"/>
      <c r="M20" s="3"/>
      <c r="N20" s="3"/>
      <c r="O20" s="3"/>
      <c r="P20" s="3"/>
      <c r="Q20" s="3"/>
      <c r="R20" s="3"/>
      <c r="S20" s="3"/>
      <c r="T20" s="4"/>
      <c r="U20" s="3"/>
      <c r="V20" s="3"/>
      <c r="W20" s="3"/>
      <c r="X20" s="3"/>
      <c r="Y20" s="3"/>
      <c r="Z20" s="3"/>
      <c r="AA20" s="3"/>
    </row>
    <row r="21" spans="1:28" ht="15.05" x14ac:dyDescent="0.3">
      <c r="A21" s="18"/>
      <c r="B21" s="298" t="s">
        <v>19</v>
      </c>
      <c r="C21" s="298"/>
      <c r="D21" s="298"/>
      <c r="E21" s="298"/>
      <c r="F21" s="298"/>
      <c r="G21" s="32">
        <f>ROUND(SUM(G20:G20),2)</f>
        <v>34515821</v>
      </c>
    </row>
    <row r="22" spans="1:28" ht="15.75" customHeight="1" x14ac:dyDescent="0.3">
      <c r="A22" s="292" t="s">
        <v>20</v>
      </c>
      <c r="B22" s="293"/>
      <c r="C22" s="293"/>
      <c r="D22" s="293"/>
      <c r="E22" s="293"/>
      <c r="F22" s="294"/>
      <c r="G22" s="35">
        <f>G18+G21</f>
        <v>37136362.850000001</v>
      </c>
      <c r="H22" s="36"/>
      <c r="I22" s="37"/>
      <c r="J22" s="37"/>
      <c r="K22" s="37"/>
      <c r="L22" s="37"/>
    </row>
    <row r="23" spans="1:28" s="23" customFormat="1" ht="17.2" customHeight="1" x14ac:dyDescent="0.3">
      <c r="A23" s="295" t="s">
        <v>21</v>
      </c>
      <c r="B23" s="296"/>
      <c r="C23" s="296"/>
      <c r="D23" s="296"/>
      <c r="E23" s="296"/>
      <c r="F23" s="38">
        <v>0.28000000000000003</v>
      </c>
      <c r="G23" s="39">
        <f>ROUND(F23*$G$22,2)</f>
        <v>10398181.6</v>
      </c>
      <c r="I23" s="12"/>
      <c r="J23" s="12"/>
      <c r="K23" s="12"/>
      <c r="L23" s="31"/>
      <c r="M23" s="3"/>
      <c r="N23" s="3"/>
      <c r="O23" s="3"/>
      <c r="P23" s="3"/>
      <c r="Q23" s="3"/>
      <c r="R23" s="3"/>
      <c r="S23" s="3"/>
      <c r="T23" s="4"/>
      <c r="U23" s="3"/>
      <c r="V23" s="3"/>
      <c r="W23" s="3"/>
      <c r="X23" s="3"/>
      <c r="Y23" s="3"/>
      <c r="Z23" s="3"/>
      <c r="AA23" s="3"/>
    </row>
    <row r="24" spans="1:28" s="23" customFormat="1" ht="17.2" customHeight="1" x14ac:dyDescent="0.3">
      <c r="A24" s="295" t="s">
        <v>22</v>
      </c>
      <c r="B24" s="296"/>
      <c r="C24" s="296"/>
      <c r="D24" s="296"/>
      <c r="E24" s="296"/>
      <c r="F24" s="38">
        <v>0.01</v>
      </c>
      <c r="G24" s="39">
        <f>ROUND(F24*$G$22,2)</f>
        <v>371363.63</v>
      </c>
      <c r="I24" s="40"/>
      <c r="J24" s="41"/>
      <c r="K24" s="12"/>
      <c r="L24" s="31"/>
      <c r="M24" s="3"/>
      <c r="N24" s="3"/>
      <c r="O24" s="3"/>
      <c r="P24" s="3"/>
      <c r="Q24" s="3"/>
      <c r="R24" s="3"/>
      <c r="S24" s="3"/>
      <c r="T24" s="4"/>
      <c r="U24" s="3"/>
      <c r="V24" s="3"/>
      <c r="W24" s="3"/>
      <c r="X24" s="3"/>
      <c r="Y24" s="3"/>
      <c r="Z24" s="3"/>
      <c r="AA24" s="3"/>
    </row>
    <row r="25" spans="1:28" s="23" customFormat="1" ht="17.2" customHeight="1" x14ac:dyDescent="0.3">
      <c r="A25" s="295" t="s">
        <v>23</v>
      </c>
      <c r="B25" s="296"/>
      <c r="C25" s="296"/>
      <c r="D25" s="296"/>
      <c r="E25" s="296"/>
      <c r="F25" s="38">
        <v>0.03</v>
      </c>
      <c r="G25" s="39">
        <f>ROUND(F25*$G$22,2)</f>
        <v>1114090.8899999999</v>
      </c>
      <c r="I25" s="40"/>
      <c r="J25" s="41"/>
      <c r="K25" s="12"/>
      <c r="L25" s="31"/>
      <c r="M25" s="3"/>
      <c r="N25" s="3"/>
      <c r="O25" s="3"/>
      <c r="P25" s="3"/>
      <c r="Q25" s="3"/>
      <c r="R25" s="3"/>
      <c r="S25" s="3"/>
      <c r="T25" s="4"/>
      <c r="U25" s="3"/>
      <c r="V25" s="3"/>
      <c r="W25" s="3"/>
      <c r="X25" s="3"/>
      <c r="Y25" s="3"/>
      <c r="Z25" s="3"/>
      <c r="AA25" s="3"/>
    </row>
    <row r="26" spans="1:28" s="23" customFormat="1" ht="17.2" customHeight="1" x14ac:dyDescent="0.3">
      <c r="A26" s="286" t="s">
        <v>24</v>
      </c>
      <c r="B26" s="287"/>
      <c r="C26" s="287"/>
      <c r="D26" s="287"/>
      <c r="E26" s="287"/>
      <c r="F26" s="288"/>
      <c r="G26" s="42">
        <f>SUM(G23:G25)</f>
        <v>11883636.120000001</v>
      </c>
      <c r="I26" s="40"/>
      <c r="J26" s="41"/>
      <c r="K26" s="12"/>
      <c r="L26" s="31"/>
      <c r="M26" s="3"/>
      <c r="N26" s="3"/>
      <c r="O26" s="3"/>
      <c r="P26" s="3"/>
      <c r="Q26" s="3"/>
      <c r="R26" s="3"/>
      <c r="S26" s="3"/>
      <c r="T26" s="4"/>
      <c r="U26" s="3"/>
      <c r="V26" s="3"/>
      <c r="W26" s="3"/>
      <c r="X26" s="3"/>
      <c r="Y26" s="3"/>
      <c r="Z26" s="3"/>
      <c r="AA26" s="3"/>
    </row>
    <row r="27" spans="1:28" s="23" customFormat="1" ht="15.05" x14ac:dyDescent="0.3">
      <c r="A27" s="289" t="s">
        <v>25</v>
      </c>
      <c r="B27" s="290"/>
      <c r="C27" s="290"/>
      <c r="D27" s="290"/>
      <c r="E27" s="290"/>
      <c r="F27" s="291"/>
      <c r="G27" s="43">
        <f>ROUND(G22+G26,2)</f>
        <v>49019998.969999999</v>
      </c>
      <c r="I27" s="40"/>
      <c r="J27" s="41"/>
      <c r="K27" s="41"/>
      <c r="L27" s="41"/>
      <c r="M27" s="41"/>
      <c r="N27" s="3"/>
      <c r="O27" s="3"/>
      <c r="P27" s="3"/>
      <c r="Q27" s="3"/>
      <c r="R27" s="3"/>
      <c r="S27" s="3"/>
      <c r="T27" s="3"/>
      <c r="U27" s="4"/>
      <c r="V27" s="3"/>
      <c r="W27" s="3"/>
      <c r="X27" s="3"/>
      <c r="Y27" s="3"/>
      <c r="Z27" s="3"/>
      <c r="AA27" s="3"/>
      <c r="AB27" s="3"/>
    </row>
    <row r="28" spans="1:28" ht="15.05" x14ac:dyDescent="0.3">
      <c r="A28" s="44"/>
      <c r="B28" s="44"/>
      <c r="C28" s="44"/>
      <c r="D28" s="44"/>
      <c r="E28" s="44"/>
      <c r="F28" s="44"/>
      <c r="G28" s="25"/>
      <c r="H28" s="23"/>
      <c r="I28" s="45"/>
      <c r="J28" s="41"/>
    </row>
    <row r="29" spans="1:28" ht="15.05" x14ac:dyDescent="0.3">
      <c r="A29" s="44"/>
      <c r="B29" s="44"/>
      <c r="C29" s="44"/>
      <c r="D29" s="44"/>
      <c r="E29" s="44"/>
      <c r="F29" s="44"/>
      <c r="G29" s="25"/>
      <c r="I29" s="45"/>
      <c r="J29" s="41"/>
    </row>
    <row r="30" spans="1:28" x14ac:dyDescent="0.3">
      <c r="A30" s="44"/>
      <c r="B30" s="44"/>
      <c r="C30" s="44"/>
      <c r="D30" s="44"/>
      <c r="E30" s="44"/>
      <c r="F30" s="44"/>
      <c r="G30" s="25"/>
    </row>
    <row r="31" spans="1:28" x14ac:dyDescent="0.3">
      <c r="A31" s="44"/>
      <c r="B31" s="44"/>
      <c r="C31" s="44"/>
      <c r="D31" s="44"/>
      <c r="E31" s="44"/>
      <c r="F31" s="44"/>
      <c r="G31" s="25"/>
    </row>
    <row r="32" spans="1:28" ht="15.05" x14ac:dyDescent="0.3">
      <c r="A32" s="3"/>
      <c r="B32" s="46" t="s">
        <v>26</v>
      </c>
      <c r="C32" s="46"/>
      <c r="D32" s="46"/>
      <c r="E32" s="47"/>
      <c r="F32" s="48"/>
      <c r="G32" s="49"/>
      <c r="H32" s="34"/>
    </row>
    <row r="33" spans="1:8" ht="15.05" x14ac:dyDescent="0.3">
      <c r="A33" s="3"/>
      <c r="B33" s="50" t="s">
        <v>27</v>
      </c>
      <c r="C33" s="51"/>
      <c r="D33" s="46"/>
      <c r="E33" s="50" t="s">
        <v>28</v>
      </c>
      <c r="F33" s="51"/>
      <c r="G33" s="51"/>
      <c r="H33" s="34"/>
    </row>
    <row r="34" spans="1:8" ht="15.05" x14ac:dyDescent="0.3">
      <c r="A34" s="3"/>
      <c r="B34" s="51" t="s">
        <v>29</v>
      </c>
      <c r="C34" s="52"/>
      <c r="E34" s="51" t="s">
        <v>30</v>
      </c>
      <c r="F34" s="51"/>
      <c r="G34" s="51"/>
      <c r="H34" s="34"/>
    </row>
    <row r="35" spans="1:8" ht="15.05" x14ac:dyDescent="0.3">
      <c r="E35" s="51" t="s">
        <v>31</v>
      </c>
      <c r="F35" s="51"/>
      <c r="G35" s="51"/>
      <c r="H35" s="34"/>
    </row>
  </sheetData>
  <mergeCells count="26">
    <mergeCell ref="B16:C16"/>
    <mergeCell ref="A1:B6"/>
    <mergeCell ref="C1:C2"/>
    <mergeCell ref="D1:E1"/>
    <mergeCell ref="G1:G6"/>
    <mergeCell ref="D2:E3"/>
    <mergeCell ref="F2:F3"/>
    <mergeCell ref="D4:E4"/>
    <mergeCell ref="C5:C6"/>
    <mergeCell ref="D5:E6"/>
    <mergeCell ref="A8:G9"/>
    <mergeCell ref="A11:G11"/>
    <mergeCell ref="B13:C13"/>
    <mergeCell ref="A14:G14"/>
    <mergeCell ref="B15:G15"/>
    <mergeCell ref="B17:C17"/>
    <mergeCell ref="B18:F18"/>
    <mergeCell ref="B19:G19"/>
    <mergeCell ref="B20:C20"/>
    <mergeCell ref="B21:F21"/>
    <mergeCell ref="A26:F26"/>
    <mergeCell ref="A27:F27"/>
    <mergeCell ref="A22:F22"/>
    <mergeCell ref="A23:E23"/>
    <mergeCell ref="A24:E24"/>
    <mergeCell ref="A25:E25"/>
  </mergeCells>
  <printOptions horizontalCentered="1" verticalCentered="1"/>
  <pageMargins left="0.7" right="0.7" top="0.75" bottom="0.75" header="0.3" footer="0.3"/>
  <pageSetup scale="69" fitToHeight="0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D550-B8C6-48A6-B08C-BF8EC0B2F3C7}">
  <sheetPr>
    <tabColor rgb="FF92D050"/>
    <pageSetUpPr fitToPage="1"/>
  </sheetPr>
  <dimension ref="A1:H153"/>
  <sheetViews>
    <sheetView showGridLines="0" view="pageBreakPreview" topLeftCell="A91" zoomScale="75" zoomScaleNormal="89" zoomScaleSheetLayoutView="75" workbookViewId="0">
      <selection activeCell="A14" sqref="A14"/>
    </sheetView>
  </sheetViews>
  <sheetFormatPr baseColWidth="10" defaultColWidth="11.44140625" defaultRowHeight="17.2" customHeight="1" x14ac:dyDescent="0.3"/>
  <cols>
    <col min="1" max="1" width="8.33203125" style="46" customWidth="1"/>
    <col min="2" max="2" width="18" style="46" customWidth="1"/>
    <col min="3" max="3" width="31.6640625" style="46" customWidth="1"/>
    <col min="4" max="4" width="11.6640625" style="46" customWidth="1"/>
    <col min="5" max="5" width="12.44140625" style="46" customWidth="1"/>
    <col min="6" max="6" width="13.44140625" style="46" bestFit="1" customWidth="1"/>
    <col min="7" max="7" width="14.88671875" style="46" customWidth="1"/>
    <col min="8" max="8" width="15.44140625" style="46" customWidth="1"/>
    <col min="9" max="9" width="13" style="55" customWidth="1"/>
    <col min="10" max="10" width="12.5546875" style="55" bestFit="1" customWidth="1"/>
    <col min="11" max="13" width="11.44140625" style="55"/>
    <col min="14" max="14" width="14.5546875" style="55" customWidth="1"/>
    <col min="15" max="16384" width="11.44140625" style="55"/>
  </cols>
  <sheetData>
    <row r="1" spans="1:8" ht="17.2" customHeight="1" x14ac:dyDescent="0.3">
      <c r="A1" s="353"/>
      <c r="B1" s="354"/>
      <c r="C1" s="304" t="s">
        <v>3</v>
      </c>
      <c r="D1" s="306" t="s">
        <v>4</v>
      </c>
      <c r="E1" s="307"/>
      <c r="F1" s="1">
        <v>103</v>
      </c>
      <c r="G1" s="359"/>
      <c r="H1" s="360"/>
    </row>
    <row r="2" spans="1:8" ht="17.2" customHeight="1" x14ac:dyDescent="0.3">
      <c r="A2" s="355"/>
      <c r="B2" s="356"/>
      <c r="C2" s="305"/>
      <c r="D2" s="309" t="s">
        <v>5</v>
      </c>
      <c r="E2" s="310"/>
      <c r="F2" s="313">
        <v>51</v>
      </c>
      <c r="G2" s="361"/>
      <c r="H2" s="362"/>
    </row>
    <row r="3" spans="1:8" ht="17.2" customHeight="1" x14ac:dyDescent="0.3">
      <c r="A3" s="355"/>
      <c r="B3" s="356"/>
      <c r="C3" s="5" t="s">
        <v>6</v>
      </c>
      <c r="D3" s="311"/>
      <c r="E3" s="312"/>
      <c r="F3" s="314"/>
      <c r="G3" s="361"/>
      <c r="H3" s="362"/>
    </row>
    <row r="4" spans="1:8" ht="27.65" customHeight="1" x14ac:dyDescent="0.3">
      <c r="A4" s="355"/>
      <c r="B4" s="356"/>
      <c r="C4" s="56" t="s">
        <v>7</v>
      </c>
      <c r="D4" s="315" t="s">
        <v>8</v>
      </c>
      <c r="E4" s="316"/>
      <c r="F4" s="7">
        <v>1</v>
      </c>
      <c r="G4" s="361"/>
      <c r="H4" s="362"/>
    </row>
    <row r="5" spans="1:8" ht="17.2" customHeight="1" x14ac:dyDescent="0.3">
      <c r="A5" s="355"/>
      <c r="B5" s="356"/>
      <c r="C5" s="365" t="s">
        <v>9</v>
      </c>
      <c r="D5" s="367" t="s">
        <v>10</v>
      </c>
      <c r="E5" s="368"/>
      <c r="F5" s="5" t="s">
        <v>11</v>
      </c>
      <c r="G5" s="361"/>
      <c r="H5" s="362"/>
    </row>
    <row r="6" spans="1:8" ht="17.2" customHeight="1" x14ac:dyDescent="0.3">
      <c r="A6" s="357"/>
      <c r="B6" s="358"/>
      <c r="C6" s="366"/>
      <c r="D6" s="369"/>
      <c r="E6" s="370"/>
      <c r="F6" s="8">
        <f>[10]PRESUPUESTO!F6</f>
        <v>45402</v>
      </c>
      <c r="G6" s="363"/>
      <c r="H6" s="364"/>
    </row>
    <row r="7" spans="1:8" ht="17.2" customHeight="1" thickBot="1" x14ac:dyDescent="0.35">
      <c r="A7" s="347"/>
      <c r="B7" s="348"/>
      <c r="C7" s="348"/>
      <c r="D7" s="348"/>
      <c r="E7" s="348"/>
      <c r="F7" s="348"/>
      <c r="G7" s="348"/>
      <c r="H7" s="349"/>
    </row>
    <row r="8" spans="1:8" ht="24.55" customHeight="1" x14ac:dyDescent="0.3">
      <c r="A8" s="373" t="str">
        <f>PRESUPUESTO!A8</f>
        <v>MEJORAMIENTO DEL SISTEMA DE TRATAMIENTO DE AGUAS RESIDUALES EN LA INSTITUCION EDUCATIVA RURAL SAN CARLOS, SEDE PRINCIPAL, EN EL MUNICIPIO DE SAN MIGUEL PUTUMAYO.</v>
      </c>
      <c r="B8" s="374"/>
      <c r="C8" s="374"/>
      <c r="D8" s="374"/>
      <c r="E8" s="374"/>
      <c r="F8" s="374"/>
      <c r="G8" s="374"/>
      <c r="H8" s="375"/>
    </row>
    <row r="9" spans="1:8" ht="20.3" customHeight="1" thickBot="1" x14ac:dyDescent="0.35">
      <c r="A9" s="376"/>
      <c r="B9" s="377"/>
      <c r="C9" s="377"/>
      <c r="D9" s="377"/>
      <c r="E9" s="377"/>
      <c r="F9" s="377"/>
      <c r="G9" s="377"/>
      <c r="H9" s="378"/>
    </row>
    <row r="10" spans="1:8" ht="17.2" customHeight="1" thickBot="1" x14ac:dyDescent="0.35">
      <c r="A10" s="347"/>
      <c r="B10" s="348"/>
      <c r="C10" s="348"/>
      <c r="D10" s="348"/>
      <c r="E10" s="348"/>
      <c r="F10" s="348"/>
      <c r="G10" s="348"/>
      <c r="H10" s="349"/>
    </row>
    <row r="11" spans="1:8" ht="25.7" customHeight="1" thickBot="1" x14ac:dyDescent="0.35">
      <c r="A11" s="57">
        <v>1.1000000000000001</v>
      </c>
      <c r="B11" s="350" t="str">
        <f>VLOOKUP(A11,PRESUPUESTO!$A$14:$G$22,2,)</f>
        <v>Excavacion a maquina en material comun H=1.5 - 2.5m</v>
      </c>
      <c r="C11" s="351"/>
      <c r="D11" s="351"/>
      <c r="E11" s="351"/>
      <c r="F11" s="352"/>
      <c r="G11" s="58" t="s">
        <v>32</v>
      </c>
      <c r="H11" s="59" t="str">
        <f>VLOOKUP(A11,PRESUPUESTO!$A$14:$G$22,4,)</f>
        <v>M3</v>
      </c>
    </row>
    <row r="12" spans="1:8" ht="17.2" customHeight="1" x14ac:dyDescent="0.3">
      <c r="A12" s="60"/>
      <c r="H12" s="61"/>
    </row>
    <row r="13" spans="1:8" ht="17.2" customHeight="1" x14ac:dyDescent="0.3">
      <c r="A13" s="62" t="s">
        <v>33</v>
      </c>
      <c r="B13" s="336" t="s">
        <v>34</v>
      </c>
      <c r="C13" s="337"/>
      <c r="D13" s="337"/>
      <c r="E13" s="337"/>
      <c r="F13" s="337"/>
      <c r="G13" s="338"/>
      <c r="H13" s="61"/>
    </row>
    <row r="14" spans="1:8" ht="17.2" customHeight="1" x14ac:dyDescent="0.3">
      <c r="A14" s="63"/>
      <c r="B14" s="331" t="s">
        <v>35</v>
      </c>
      <c r="C14" s="332"/>
      <c r="D14" s="63" t="s">
        <v>36</v>
      </c>
      <c r="E14" s="63" t="s">
        <v>37</v>
      </c>
      <c r="F14" s="63" t="s">
        <v>38</v>
      </c>
      <c r="G14" s="63" t="s">
        <v>39</v>
      </c>
      <c r="H14" s="61"/>
    </row>
    <row r="15" spans="1:8" ht="17.2" customHeight="1" x14ac:dyDescent="0.3">
      <c r="A15" s="64"/>
      <c r="B15" s="343" t="s">
        <v>40</v>
      </c>
      <c r="C15" s="344"/>
      <c r="D15" s="64"/>
      <c r="E15" s="65"/>
      <c r="F15" s="65">
        <v>0.1</v>
      </c>
      <c r="G15" s="66">
        <f>ROUND(H29*F15,2)</f>
        <v>2216.67</v>
      </c>
      <c r="H15" s="67"/>
    </row>
    <row r="16" spans="1:8" ht="17.2" customHeight="1" x14ac:dyDescent="0.3">
      <c r="A16" s="64"/>
      <c r="B16" s="343" t="s">
        <v>90</v>
      </c>
      <c r="C16" s="344"/>
      <c r="D16" s="64" t="s">
        <v>91</v>
      </c>
      <c r="E16" s="65">
        <v>130000</v>
      </c>
      <c r="F16" s="65">
        <v>0.1</v>
      </c>
      <c r="G16" s="66">
        <f>E16*F16</f>
        <v>13000</v>
      </c>
      <c r="H16" s="67"/>
    </row>
    <row r="17" spans="1:8" ht="17.2" customHeight="1" x14ac:dyDescent="0.3">
      <c r="A17" s="71"/>
      <c r="E17" s="72" t="s">
        <v>41</v>
      </c>
      <c r="F17" s="72"/>
      <c r="G17" s="72"/>
      <c r="H17" s="73">
        <f>ROUND(SUM(G15:G16),2)</f>
        <v>15216.67</v>
      </c>
    </row>
    <row r="18" spans="1:8" ht="17.2" customHeight="1" x14ac:dyDescent="0.3">
      <c r="A18" s="62" t="s">
        <v>42</v>
      </c>
      <c r="B18" s="336" t="s">
        <v>43</v>
      </c>
      <c r="C18" s="337"/>
      <c r="D18" s="337"/>
      <c r="E18" s="337"/>
      <c r="F18" s="337"/>
      <c r="G18" s="338"/>
      <c r="H18" s="74"/>
    </row>
    <row r="19" spans="1:8" ht="17.2" customHeight="1" x14ac:dyDescent="0.3">
      <c r="A19" s="63"/>
      <c r="B19" s="331" t="s">
        <v>35</v>
      </c>
      <c r="C19" s="332"/>
      <c r="D19" s="64" t="s">
        <v>44</v>
      </c>
      <c r="E19" s="75" t="s">
        <v>45</v>
      </c>
      <c r="F19" s="75" t="s">
        <v>46</v>
      </c>
      <c r="G19" s="75" t="s">
        <v>39</v>
      </c>
      <c r="H19" s="74"/>
    </row>
    <row r="20" spans="1:8" ht="17.2" customHeight="1" x14ac:dyDescent="0.3">
      <c r="A20" s="64"/>
      <c r="B20" s="371"/>
      <c r="C20" s="372"/>
      <c r="D20" s="76"/>
      <c r="E20" s="76"/>
      <c r="F20" s="68"/>
      <c r="G20" s="68"/>
      <c r="H20" s="74"/>
    </row>
    <row r="21" spans="1:8" ht="17.2" customHeight="1" x14ac:dyDescent="0.3">
      <c r="A21" s="64"/>
      <c r="B21" s="371"/>
      <c r="C21" s="372"/>
      <c r="D21" s="76"/>
      <c r="E21" s="76"/>
      <c r="F21" s="68"/>
      <c r="G21" s="68"/>
      <c r="H21" s="74"/>
    </row>
    <row r="22" spans="1:8" ht="17.2" customHeight="1" x14ac:dyDescent="0.3">
      <c r="A22" s="64"/>
      <c r="B22" s="371"/>
      <c r="C22" s="372"/>
      <c r="D22" s="76"/>
      <c r="E22" s="76"/>
      <c r="F22" s="68"/>
      <c r="G22" s="68"/>
      <c r="H22" s="74"/>
    </row>
    <row r="23" spans="1:8" ht="17.2" customHeight="1" x14ac:dyDescent="0.3">
      <c r="A23" s="71" t="s">
        <v>47</v>
      </c>
      <c r="E23" s="72" t="s">
        <v>48</v>
      </c>
      <c r="F23" s="72"/>
      <c r="G23" s="72"/>
      <c r="H23" s="77">
        <f>ROUND(SUM(G20:G22),2)</f>
        <v>0</v>
      </c>
    </row>
    <row r="24" spans="1:8" ht="17.2" customHeight="1" x14ac:dyDescent="0.3">
      <c r="A24" s="62" t="s">
        <v>49</v>
      </c>
      <c r="B24" s="336" t="s">
        <v>50</v>
      </c>
      <c r="C24" s="337"/>
      <c r="D24" s="337"/>
      <c r="E24" s="337"/>
      <c r="F24" s="337"/>
      <c r="G24" s="338"/>
      <c r="H24" s="74"/>
    </row>
    <row r="25" spans="1:8" ht="17.2" customHeight="1" x14ac:dyDescent="0.3">
      <c r="A25" s="63" t="s">
        <v>51</v>
      </c>
      <c r="B25" s="63" t="s">
        <v>35</v>
      </c>
      <c r="C25" s="63" t="s">
        <v>52</v>
      </c>
      <c r="D25" s="63" t="s">
        <v>53</v>
      </c>
      <c r="E25" s="75" t="s">
        <v>54</v>
      </c>
      <c r="F25" s="65" t="s">
        <v>82</v>
      </c>
      <c r="G25" s="65" t="s">
        <v>39</v>
      </c>
      <c r="H25" s="74"/>
    </row>
    <row r="26" spans="1:8" ht="17.2" customHeight="1" x14ac:dyDescent="0.3">
      <c r="A26" s="63">
        <v>1</v>
      </c>
      <c r="B26" s="64" t="s">
        <v>80</v>
      </c>
      <c r="C26" s="78">
        <v>120000</v>
      </c>
      <c r="D26" s="79">
        <v>0.75</v>
      </c>
      <c r="E26" s="80">
        <f>+(A26*C26)+(A26*C26*D26)</f>
        <v>210000</v>
      </c>
      <c r="F26" s="76">
        <v>15</v>
      </c>
      <c r="G26" s="66">
        <f>ROUND(E26/(F26),2)</f>
        <v>14000</v>
      </c>
      <c r="H26" s="74"/>
    </row>
    <row r="27" spans="1:8" ht="17.2" customHeight="1" x14ac:dyDescent="0.3">
      <c r="A27" s="63">
        <v>1</v>
      </c>
      <c r="B27" s="64" t="s">
        <v>81</v>
      </c>
      <c r="C27" s="78">
        <v>70000</v>
      </c>
      <c r="D27" s="79">
        <v>0.75</v>
      </c>
      <c r="E27" s="80">
        <f>+(A27*C27)+(A27*C27*D27)</f>
        <v>122500</v>
      </c>
      <c r="F27" s="76">
        <v>15</v>
      </c>
      <c r="G27" s="66">
        <f>ROUND(E27/(F27),2)</f>
        <v>8166.67</v>
      </c>
      <c r="H27" s="74"/>
    </row>
    <row r="28" spans="1:8" ht="17.2" customHeight="1" x14ac:dyDescent="0.3">
      <c r="A28" s="64"/>
      <c r="B28" s="64"/>
      <c r="C28" s="64"/>
      <c r="D28" s="64"/>
      <c r="E28" s="65"/>
      <c r="F28" s="65"/>
      <c r="G28" s="65"/>
      <c r="H28" s="74"/>
    </row>
    <row r="29" spans="1:8" ht="17.2" customHeight="1" x14ac:dyDescent="0.3">
      <c r="A29" s="71"/>
      <c r="E29" s="72" t="s">
        <v>55</v>
      </c>
      <c r="F29" s="72"/>
      <c r="G29" s="72"/>
      <c r="H29" s="73">
        <f>ROUND(SUM(G26)+(G27),2)</f>
        <v>22166.67</v>
      </c>
    </row>
    <row r="30" spans="1:8" ht="17.2" customHeight="1" x14ac:dyDescent="0.3">
      <c r="A30" s="62" t="s">
        <v>56</v>
      </c>
      <c r="B30" s="336" t="s">
        <v>57</v>
      </c>
      <c r="C30" s="337"/>
      <c r="D30" s="337"/>
      <c r="E30" s="337"/>
      <c r="F30" s="337"/>
      <c r="G30" s="338"/>
      <c r="H30" s="74"/>
    </row>
    <row r="31" spans="1:8" ht="17.2" customHeight="1" x14ac:dyDescent="0.3">
      <c r="A31" s="64"/>
      <c r="B31" s="64" t="s">
        <v>35</v>
      </c>
      <c r="C31" s="63" t="s">
        <v>44</v>
      </c>
      <c r="D31" s="63" t="s">
        <v>58</v>
      </c>
      <c r="E31" s="63" t="s">
        <v>59</v>
      </c>
      <c r="F31" s="63"/>
      <c r="G31" s="65" t="s">
        <v>60</v>
      </c>
      <c r="H31" s="74"/>
    </row>
    <row r="32" spans="1:8" ht="17.2" customHeight="1" x14ac:dyDescent="0.3">
      <c r="A32" s="64"/>
      <c r="B32" s="64"/>
      <c r="C32" s="81"/>
      <c r="D32" s="64"/>
      <c r="E32" s="65"/>
      <c r="F32" s="65"/>
      <c r="G32" s="65"/>
      <c r="H32" s="74"/>
    </row>
    <row r="33" spans="1:8" ht="17.2" customHeight="1" x14ac:dyDescent="0.3">
      <c r="A33" s="64"/>
      <c r="B33" s="64"/>
      <c r="C33" s="82"/>
      <c r="D33" s="64"/>
      <c r="E33" s="65"/>
      <c r="F33" s="65"/>
      <c r="G33" s="65"/>
      <c r="H33" s="74"/>
    </row>
    <row r="34" spans="1:8" ht="17.2" customHeight="1" x14ac:dyDescent="0.3">
      <c r="A34" s="64"/>
      <c r="B34" s="64"/>
      <c r="C34" s="64"/>
      <c r="D34" s="64"/>
      <c r="E34" s="65"/>
      <c r="F34" s="65"/>
      <c r="G34" s="65"/>
      <c r="H34" s="74"/>
    </row>
    <row r="35" spans="1:8" ht="17.2" customHeight="1" x14ac:dyDescent="0.3">
      <c r="A35" s="71"/>
      <c r="E35" s="72" t="s">
        <v>55</v>
      </c>
      <c r="F35" s="72"/>
      <c r="G35" s="72"/>
      <c r="H35" s="77">
        <f>ROUND(SUM(G32)+(G33),0)</f>
        <v>0</v>
      </c>
    </row>
    <row r="36" spans="1:8" ht="17.2" customHeight="1" x14ac:dyDescent="0.3">
      <c r="A36" s="60"/>
      <c r="E36" s="72"/>
      <c r="F36" s="72"/>
      <c r="G36" s="72"/>
      <c r="H36" s="74"/>
    </row>
    <row r="37" spans="1:8" ht="17.2" customHeight="1" x14ac:dyDescent="0.3">
      <c r="A37" s="60"/>
      <c r="D37" s="83" t="s">
        <v>61</v>
      </c>
      <c r="E37" s="84"/>
      <c r="F37" s="84"/>
      <c r="G37" s="84"/>
      <c r="H37" s="73">
        <f>ROUND(SUM(H17:H36),2)</f>
        <v>37383.339999999997</v>
      </c>
    </row>
    <row r="38" spans="1:8" ht="17.2" customHeight="1" x14ac:dyDescent="0.3">
      <c r="A38" s="60"/>
      <c r="E38" s="72"/>
      <c r="F38" s="72"/>
      <c r="G38" s="72"/>
      <c r="H38" s="74"/>
    </row>
    <row r="39" spans="1:8" ht="17.2" customHeight="1" x14ac:dyDescent="0.3">
      <c r="A39" s="62" t="s">
        <v>62</v>
      </c>
      <c r="B39" s="336" t="s">
        <v>63</v>
      </c>
      <c r="C39" s="337"/>
      <c r="D39" s="337"/>
      <c r="E39" s="337"/>
      <c r="F39" s="337"/>
      <c r="G39" s="338"/>
      <c r="H39" s="74"/>
    </row>
    <row r="40" spans="1:8" ht="17.2" customHeight="1" x14ac:dyDescent="0.3">
      <c r="A40" s="63"/>
      <c r="B40" s="331" t="s">
        <v>35</v>
      </c>
      <c r="C40" s="332"/>
      <c r="D40" s="331" t="s">
        <v>64</v>
      </c>
      <c r="E40" s="332"/>
      <c r="F40" s="339" t="s">
        <v>65</v>
      </c>
      <c r="G40" s="340"/>
      <c r="H40" s="74"/>
    </row>
    <row r="41" spans="1:8" ht="17.2" customHeight="1" x14ac:dyDescent="0.3">
      <c r="A41" s="64"/>
      <c r="B41" s="331" t="s">
        <v>21</v>
      </c>
      <c r="C41" s="332"/>
      <c r="D41" s="333">
        <v>0.28000000000000003</v>
      </c>
      <c r="E41" s="332"/>
      <c r="F41" s="334">
        <f>+H37*D41</f>
        <v>10467.3352</v>
      </c>
      <c r="G41" s="335"/>
      <c r="H41" s="74"/>
    </row>
    <row r="42" spans="1:8" ht="17.2" customHeight="1" x14ac:dyDescent="0.3">
      <c r="A42" s="64"/>
      <c r="B42" s="331" t="s">
        <v>22</v>
      </c>
      <c r="C42" s="332"/>
      <c r="D42" s="333">
        <v>0.01</v>
      </c>
      <c r="E42" s="332"/>
      <c r="F42" s="334">
        <f>+H37*D42</f>
        <v>373.83339999999998</v>
      </c>
      <c r="G42" s="335"/>
      <c r="H42" s="74"/>
    </row>
    <row r="43" spans="1:8" ht="17.2" customHeight="1" x14ac:dyDescent="0.3">
      <c r="A43" s="64"/>
      <c r="B43" s="331" t="s">
        <v>23</v>
      </c>
      <c r="C43" s="332"/>
      <c r="D43" s="333">
        <v>0.03</v>
      </c>
      <c r="E43" s="332"/>
      <c r="F43" s="334">
        <f>+H37*D43</f>
        <v>1121.5001999999999</v>
      </c>
      <c r="G43" s="335"/>
      <c r="H43" s="74"/>
    </row>
    <row r="44" spans="1:8" ht="17.2" customHeight="1" x14ac:dyDescent="0.3">
      <c r="A44" s="60"/>
      <c r="D44" s="83" t="s">
        <v>66</v>
      </c>
      <c r="E44" s="84"/>
      <c r="F44" s="84"/>
      <c r="G44" s="84"/>
      <c r="H44" s="73">
        <f>SUM(F41:G43)</f>
        <v>11962.668799999999</v>
      </c>
    </row>
    <row r="45" spans="1:8" ht="17.2" customHeight="1" x14ac:dyDescent="0.3">
      <c r="A45" s="60"/>
      <c r="E45" s="72"/>
      <c r="F45" s="72"/>
      <c r="G45" s="72"/>
      <c r="H45" s="74"/>
    </row>
    <row r="46" spans="1:8" ht="17.2" customHeight="1" x14ac:dyDescent="0.3">
      <c r="A46" s="60"/>
      <c r="D46" s="83" t="s">
        <v>67</v>
      </c>
      <c r="E46" s="84"/>
      <c r="F46" s="84"/>
      <c r="G46" s="72"/>
      <c r="H46" s="73">
        <f>H37+H44</f>
        <v>49346.008799999996</v>
      </c>
    </row>
    <row r="47" spans="1:8" ht="17.2" customHeight="1" x14ac:dyDescent="0.3">
      <c r="A47" s="60"/>
      <c r="D47" s="83"/>
      <c r="E47" s="84"/>
      <c r="F47" s="84"/>
      <c r="G47" s="72"/>
      <c r="H47" s="74"/>
    </row>
    <row r="48" spans="1:8" ht="17.2" customHeight="1" x14ac:dyDescent="0.3">
      <c r="A48" s="60"/>
      <c r="E48" s="84"/>
      <c r="F48" s="84"/>
      <c r="G48" s="72"/>
      <c r="H48" s="74"/>
    </row>
    <row r="49" spans="1:8" ht="17.2" customHeight="1" x14ac:dyDescent="0.3">
      <c r="A49" s="85"/>
      <c r="B49" s="86"/>
      <c r="E49" s="47"/>
      <c r="F49" s="48"/>
      <c r="G49" s="49"/>
      <c r="H49" s="74"/>
    </row>
    <row r="50" spans="1:8" ht="17.2" customHeight="1" x14ac:dyDescent="0.3">
      <c r="A50" s="87" t="s">
        <v>68</v>
      </c>
      <c r="B50" s="51" t="s">
        <v>69</v>
      </c>
      <c r="E50" s="50" t="s">
        <v>28</v>
      </c>
      <c r="F50" s="51"/>
      <c r="G50" s="51"/>
      <c r="H50" s="88"/>
    </row>
    <row r="51" spans="1:8" ht="17.2" customHeight="1" x14ac:dyDescent="0.3">
      <c r="A51" s="89" t="s">
        <v>29</v>
      </c>
      <c r="B51" s="51"/>
      <c r="E51" s="51" t="str">
        <f ca="1">+$E$51</f>
        <v>SECRETARIO DE PLANEACION Y OBRAS PUBLICAS</v>
      </c>
      <c r="F51" s="51"/>
      <c r="G51" s="51"/>
      <c r="H51" s="88"/>
    </row>
    <row r="52" spans="1:8" ht="17.2" customHeight="1" x14ac:dyDescent="0.3">
      <c r="A52" s="90"/>
      <c r="B52" s="91"/>
      <c r="C52" s="86"/>
      <c r="D52" s="86"/>
      <c r="E52" s="91" t="str">
        <f ca="1">+$E$52</f>
        <v>SAN MIGUEL - PUTUMAYO</v>
      </c>
      <c r="F52" s="91"/>
      <c r="G52" s="91"/>
      <c r="H52" s="92"/>
    </row>
    <row r="53" spans="1:8" ht="17.2" customHeight="1" x14ac:dyDescent="0.3">
      <c r="A53" s="353"/>
      <c r="B53" s="354"/>
      <c r="C53" s="304" t="s">
        <v>3</v>
      </c>
      <c r="D53" s="306" t="s">
        <v>4</v>
      </c>
      <c r="E53" s="307"/>
      <c r="F53" s="1">
        <v>103</v>
      </c>
      <c r="G53" s="359"/>
      <c r="H53" s="360"/>
    </row>
    <row r="54" spans="1:8" ht="17.2" customHeight="1" x14ac:dyDescent="0.3">
      <c r="A54" s="355"/>
      <c r="B54" s="356"/>
      <c r="C54" s="305"/>
      <c r="D54" s="309" t="s">
        <v>5</v>
      </c>
      <c r="E54" s="310"/>
      <c r="F54" s="313">
        <v>51</v>
      </c>
      <c r="G54" s="361"/>
      <c r="H54" s="362"/>
    </row>
    <row r="55" spans="1:8" ht="17.2" customHeight="1" x14ac:dyDescent="0.3">
      <c r="A55" s="355"/>
      <c r="B55" s="356"/>
      <c r="C55" s="5" t="s">
        <v>6</v>
      </c>
      <c r="D55" s="311"/>
      <c r="E55" s="312"/>
      <c r="F55" s="314"/>
      <c r="G55" s="361"/>
      <c r="H55" s="362"/>
    </row>
    <row r="56" spans="1:8" ht="29.45" customHeight="1" x14ac:dyDescent="0.3">
      <c r="A56" s="355"/>
      <c r="B56" s="356"/>
      <c r="C56" s="56" t="s">
        <v>7</v>
      </c>
      <c r="D56" s="315" t="s">
        <v>8</v>
      </c>
      <c r="E56" s="316"/>
      <c r="F56" s="7">
        <v>1</v>
      </c>
      <c r="G56" s="361"/>
      <c r="H56" s="362"/>
    </row>
    <row r="57" spans="1:8" ht="17.2" customHeight="1" x14ac:dyDescent="0.3">
      <c r="A57" s="355"/>
      <c r="B57" s="356"/>
      <c r="C57" s="365" t="s">
        <v>9</v>
      </c>
      <c r="D57" s="367" t="s">
        <v>10</v>
      </c>
      <c r="E57" s="368"/>
      <c r="F57" s="5" t="s">
        <v>11</v>
      </c>
      <c r="G57" s="361"/>
      <c r="H57" s="362"/>
    </row>
    <row r="58" spans="1:8" ht="17.2" customHeight="1" x14ac:dyDescent="0.3">
      <c r="A58" s="357"/>
      <c r="B58" s="358"/>
      <c r="C58" s="366"/>
      <c r="D58" s="369"/>
      <c r="E58" s="370"/>
      <c r="F58" s="8">
        <f>$F$6</f>
        <v>45402</v>
      </c>
      <c r="G58" s="363"/>
      <c r="H58" s="364"/>
    </row>
    <row r="59" spans="1:8" ht="17.2" customHeight="1" thickBot="1" x14ac:dyDescent="0.35">
      <c r="A59" s="347"/>
      <c r="B59" s="348"/>
      <c r="C59" s="348"/>
      <c r="D59" s="348"/>
      <c r="E59" s="348"/>
      <c r="F59" s="348"/>
      <c r="G59" s="348"/>
      <c r="H59" s="349"/>
    </row>
    <row r="60" spans="1:8" ht="28.15" customHeight="1" thickBot="1" x14ac:dyDescent="0.35">
      <c r="A60" s="93">
        <v>1.2</v>
      </c>
      <c r="B60" s="350" t="str">
        <f>VLOOKUP(A60,PRESUPUESTO!$A$14:$G$22,2,)</f>
        <v>Excavacion manual para zanjas de redes sanitarias</v>
      </c>
      <c r="C60" s="351"/>
      <c r="D60" s="351"/>
      <c r="E60" s="351"/>
      <c r="F60" s="352"/>
      <c r="G60" s="58" t="s">
        <v>32</v>
      </c>
      <c r="H60" s="59" t="str">
        <f>VLOOKUP(A60,PRESUPUESTO!$A$14:$G$22,4,)</f>
        <v>M3</v>
      </c>
    </row>
    <row r="61" spans="1:8" ht="17.2" customHeight="1" x14ac:dyDescent="0.3">
      <c r="A61" s="60"/>
      <c r="H61" s="61"/>
    </row>
    <row r="62" spans="1:8" ht="17.2" customHeight="1" x14ac:dyDescent="0.3">
      <c r="A62" s="62" t="s">
        <v>33</v>
      </c>
      <c r="B62" s="336" t="s">
        <v>34</v>
      </c>
      <c r="C62" s="337"/>
      <c r="D62" s="337"/>
      <c r="E62" s="337"/>
      <c r="F62" s="337"/>
      <c r="G62" s="338"/>
      <c r="H62" s="61"/>
    </row>
    <row r="63" spans="1:8" ht="17.2" customHeight="1" x14ac:dyDescent="0.3">
      <c r="A63" s="63"/>
      <c r="B63" s="331" t="s">
        <v>35</v>
      </c>
      <c r="C63" s="332"/>
      <c r="D63" s="63" t="s">
        <v>36</v>
      </c>
      <c r="E63" s="63" t="s">
        <v>70</v>
      </c>
      <c r="F63" s="63" t="s">
        <v>71</v>
      </c>
      <c r="G63" s="63" t="s">
        <v>39</v>
      </c>
      <c r="H63" s="61"/>
    </row>
    <row r="64" spans="1:8" ht="17.2" customHeight="1" x14ac:dyDescent="0.3">
      <c r="A64" s="64"/>
      <c r="B64" s="343" t="s">
        <v>40</v>
      </c>
      <c r="C64" s="344"/>
      <c r="D64" s="64"/>
      <c r="E64" s="65"/>
      <c r="F64" s="65">
        <v>0.1</v>
      </c>
      <c r="G64" s="66">
        <f>ROUND(H78*F64,2)</f>
        <v>4136.3599999999997</v>
      </c>
      <c r="H64" s="67"/>
    </row>
    <row r="65" spans="1:8" ht="17.2" customHeight="1" x14ac:dyDescent="0.3">
      <c r="A65" s="71"/>
      <c r="E65" s="72" t="s">
        <v>41</v>
      </c>
      <c r="F65" s="72"/>
      <c r="G65" s="72"/>
      <c r="H65" s="73">
        <f>ROUND(SUM(G64:G64),2)</f>
        <v>4136.3599999999997</v>
      </c>
    </row>
    <row r="66" spans="1:8" ht="17.2" customHeight="1" x14ac:dyDescent="0.3">
      <c r="A66" s="62" t="s">
        <v>42</v>
      </c>
      <c r="B66" s="336" t="s">
        <v>43</v>
      </c>
      <c r="C66" s="337"/>
      <c r="D66" s="337"/>
      <c r="E66" s="337"/>
      <c r="F66" s="337"/>
      <c r="G66" s="338"/>
      <c r="H66" s="74"/>
    </row>
    <row r="67" spans="1:8" ht="17.2" customHeight="1" x14ac:dyDescent="0.3">
      <c r="A67" s="63"/>
      <c r="B67" s="331" t="s">
        <v>35</v>
      </c>
      <c r="C67" s="332"/>
      <c r="D67" s="64" t="s">
        <v>44</v>
      </c>
      <c r="E67" s="75" t="s">
        <v>45</v>
      </c>
      <c r="F67" s="75" t="s">
        <v>46</v>
      </c>
      <c r="G67" s="75" t="s">
        <v>39</v>
      </c>
      <c r="H67" s="74"/>
    </row>
    <row r="68" spans="1:8" ht="17.2" customHeight="1" x14ac:dyDescent="0.3">
      <c r="A68" s="64"/>
      <c r="B68" s="371"/>
      <c r="C68" s="372"/>
      <c r="D68" s="76"/>
      <c r="E68" s="76"/>
      <c r="F68" s="68"/>
      <c r="G68" s="68"/>
      <c r="H68" s="74"/>
    </row>
    <row r="69" spans="1:8" ht="17.2" customHeight="1" x14ac:dyDescent="0.3">
      <c r="A69" s="64"/>
      <c r="B69" s="371"/>
      <c r="C69" s="372"/>
      <c r="D69" s="76"/>
      <c r="E69" s="76"/>
      <c r="F69" s="68"/>
      <c r="G69" s="68"/>
      <c r="H69" s="74"/>
    </row>
    <row r="70" spans="1:8" ht="17.2" customHeight="1" x14ac:dyDescent="0.3">
      <c r="A70" s="64"/>
      <c r="B70" s="371"/>
      <c r="C70" s="372"/>
      <c r="D70" s="76"/>
      <c r="E70" s="76"/>
      <c r="F70" s="68"/>
      <c r="G70" s="68"/>
      <c r="H70" s="74"/>
    </row>
    <row r="71" spans="1:8" ht="17.2" customHeight="1" x14ac:dyDescent="0.3">
      <c r="A71" s="64"/>
      <c r="B71" s="341"/>
      <c r="C71" s="342"/>
      <c r="D71" s="94"/>
      <c r="E71" s="95"/>
      <c r="F71" s="96"/>
      <c r="G71" s="68"/>
      <c r="H71" s="74"/>
    </row>
    <row r="72" spans="1:8" ht="17.2" customHeight="1" x14ac:dyDescent="0.3">
      <c r="A72" s="71" t="s">
        <v>47</v>
      </c>
      <c r="E72" s="72" t="s">
        <v>48</v>
      </c>
      <c r="F72" s="72"/>
      <c r="G72" s="72"/>
      <c r="H72" s="77">
        <f>ROUND(SUM(G68:G71),2)</f>
        <v>0</v>
      </c>
    </row>
    <row r="73" spans="1:8" ht="17.2" customHeight="1" x14ac:dyDescent="0.3">
      <c r="A73" s="62" t="s">
        <v>49</v>
      </c>
      <c r="B73" s="336" t="s">
        <v>50</v>
      </c>
      <c r="C73" s="337"/>
      <c r="D73" s="337"/>
      <c r="E73" s="337"/>
      <c r="F73" s="337"/>
      <c r="G73" s="338"/>
      <c r="H73" s="74"/>
    </row>
    <row r="74" spans="1:8" ht="17.2" customHeight="1" x14ac:dyDescent="0.3">
      <c r="A74" s="63" t="s">
        <v>51</v>
      </c>
      <c r="B74" s="63" t="s">
        <v>35</v>
      </c>
      <c r="C74" s="63" t="s">
        <v>52</v>
      </c>
      <c r="D74" s="63" t="s">
        <v>53</v>
      </c>
      <c r="E74" s="75" t="s">
        <v>54</v>
      </c>
      <c r="F74" s="65" t="s">
        <v>82</v>
      </c>
      <c r="G74" s="65" t="s">
        <v>39</v>
      </c>
      <c r="H74" s="74"/>
    </row>
    <row r="75" spans="1:8" ht="17.2" customHeight="1" x14ac:dyDescent="0.3">
      <c r="A75" s="63">
        <v>1</v>
      </c>
      <c r="B75" s="64" t="s">
        <v>80</v>
      </c>
      <c r="C75" s="78">
        <v>120000</v>
      </c>
      <c r="D75" s="79">
        <v>0.75</v>
      </c>
      <c r="E75" s="80">
        <f>+(A75*C75)+(A75*C75*D75)</f>
        <v>210000</v>
      </c>
      <c r="F75" s="76">
        <v>11</v>
      </c>
      <c r="G75" s="66">
        <f>ROUND(E75/(F75),2)</f>
        <v>19090.91</v>
      </c>
      <c r="H75" s="74"/>
    </row>
    <row r="76" spans="1:8" ht="17.2" customHeight="1" x14ac:dyDescent="0.3">
      <c r="A76" s="63">
        <v>2</v>
      </c>
      <c r="B76" s="64" t="s">
        <v>81</v>
      </c>
      <c r="C76" s="78">
        <v>70000</v>
      </c>
      <c r="D76" s="79">
        <v>0.75</v>
      </c>
      <c r="E76" s="80">
        <f>+(A76*C76)+(A76*C76*D76)</f>
        <v>245000</v>
      </c>
      <c r="F76" s="76">
        <v>11</v>
      </c>
      <c r="G76" s="66">
        <f>ROUND(E76/(F76),2)</f>
        <v>22272.73</v>
      </c>
      <c r="H76" s="74"/>
    </row>
    <row r="77" spans="1:8" ht="17.2" customHeight="1" x14ac:dyDescent="0.3">
      <c r="A77" s="64"/>
      <c r="B77" s="64"/>
      <c r="C77" s="64"/>
      <c r="D77" s="64"/>
      <c r="E77" s="65"/>
      <c r="F77" s="65"/>
      <c r="G77" s="65"/>
      <c r="H77" s="74"/>
    </row>
    <row r="78" spans="1:8" ht="17.2" customHeight="1" x14ac:dyDescent="0.3">
      <c r="A78" s="71"/>
      <c r="E78" s="72" t="s">
        <v>55</v>
      </c>
      <c r="F78" s="72"/>
      <c r="G78" s="72"/>
      <c r="H78" s="73">
        <f>ROUND(SUM(G75)+(G76),2)</f>
        <v>41363.64</v>
      </c>
    </row>
    <row r="79" spans="1:8" ht="17.2" customHeight="1" x14ac:dyDescent="0.3">
      <c r="A79" s="62" t="s">
        <v>56</v>
      </c>
      <c r="B79" s="336" t="s">
        <v>57</v>
      </c>
      <c r="C79" s="337"/>
      <c r="D79" s="337"/>
      <c r="E79" s="337"/>
      <c r="F79" s="337"/>
      <c r="G79" s="338"/>
      <c r="H79" s="74"/>
    </row>
    <row r="80" spans="1:8" ht="17.2" customHeight="1" x14ac:dyDescent="0.3">
      <c r="A80" s="64"/>
      <c r="B80" s="64" t="s">
        <v>35</v>
      </c>
      <c r="C80" s="63" t="s">
        <v>44</v>
      </c>
      <c r="D80" s="63" t="s">
        <v>58</v>
      </c>
      <c r="E80" s="63" t="s">
        <v>59</v>
      </c>
      <c r="F80" s="63"/>
      <c r="G80" s="65" t="s">
        <v>60</v>
      </c>
      <c r="H80" s="74"/>
    </row>
    <row r="81" spans="1:8" ht="17.2" customHeight="1" x14ac:dyDescent="0.3">
      <c r="A81" s="64"/>
      <c r="B81" s="64"/>
      <c r="C81" s="81"/>
      <c r="D81" s="64"/>
      <c r="E81" s="65"/>
      <c r="F81" s="65"/>
      <c r="G81" s="65"/>
      <c r="H81" s="74"/>
    </row>
    <row r="82" spans="1:8" ht="17.2" customHeight="1" x14ac:dyDescent="0.3">
      <c r="A82" s="64"/>
      <c r="B82" s="64"/>
      <c r="C82" s="82"/>
      <c r="D82" s="64"/>
      <c r="E82" s="65"/>
      <c r="F82" s="65"/>
      <c r="G82" s="65"/>
      <c r="H82" s="74"/>
    </row>
    <row r="83" spans="1:8" ht="17.2" customHeight="1" x14ac:dyDescent="0.3">
      <c r="A83" s="64"/>
      <c r="B83" s="64"/>
      <c r="C83" s="64"/>
      <c r="D83" s="64"/>
      <c r="E83" s="65"/>
      <c r="F83" s="65"/>
      <c r="G83" s="65"/>
      <c r="H83" s="74"/>
    </row>
    <row r="84" spans="1:8" ht="17.2" customHeight="1" x14ac:dyDescent="0.3">
      <c r="A84" s="71"/>
      <c r="E84" s="72" t="s">
        <v>55</v>
      </c>
      <c r="F84" s="72"/>
      <c r="G84" s="72"/>
      <c r="H84" s="77">
        <f>ROUND(SUM(G81)+(G82),0)</f>
        <v>0</v>
      </c>
    </row>
    <row r="85" spans="1:8" ht="17.2" customHeight="1" x14ac:dyDescent="0.3">
      <c r="A85" s="60"/>
      <c r="E85" s="72"/>
      <c r="F85" s="72"/>
      <c r="G85" s="72"/>
      <c r="H85" s="74"/>
    </row>
    <row r="86" spans="1:8" ht="17.2" customHeight="1" x14ac:dyDescent="0.3">
      <c r="A86" s="60"/>
      <c r="D86" s="83" t="s">
        <v>61</v>
      </c>
      <c r="E86" s="84"/>
      <c r="F86" s="84"/>
      <c r="G86" s="84"/>
      <c r="H86" s="73">
        <f>ROUND(SUM(H65:H85),2)</f>
        <v>45500</v>
      </c>
    </row>
    <row r="87" spans="1:8" ht="17.2" customHeight="1" x14ac:dyDescent="0.3">
      <c r="A87" s="60"/>
      <c r="E87" s="72"/>
      <c r="F87" s="72"/>
      <c r="G87" s="72"/>
      <c r="H87" s="74"/>
    </row>
    <row r="88" spans="1:8" ht="17.2" customHeight="1" x14ac:dyDescent="0.3">
      <c r="A88" s="62" t="s">
        <v>62</v>
      </c>
      <c r="B88" s="336" t="s">
        <v>63</v>
      </c>
      <c r="C88" s="337"/>
      <c r="D88" s="337"/>
      <c r="E88" s="337"/>
      <c r="F88" s="337"/>
      <c r="G88" s="338"/>
      <c r="H88" s="74"/>
    </row>
    <row r="89" spans="1:8" ht="17.2" customHeight="1" x14ac:dyDescent="0.3">
      <c r="A89" s="63"/>
      <c r="B89" s="331" t="s">
        <v>35</v>
      </c>
      <c r="C89" s="332"/>
      <c r="D89" s="331" t="s">
        <v>64</v>
      </c>
      <c r="E89" s="332"/>
      <c r="F89" s="339" t="s">
        <v>65</v>
      </c>
      <c r="G89" s="340"/>
      <c r="H89" s="74"/>
    </row>
    <row r="90" spans="1:8" ht="17.2" customHeight="1" x14ac:dyDescent="0.3">
      <c r="A90" s="64"/>
      <c r="B90" s="331" t="s">
        <v>21</v>
      </c>
      <c r="C90" s="332"/>
      <c r="D90" s="333">
        <v>0.28000000000000003</v>
      </c>
      <c r="E90" s="332"/>
      <c r="F90" s="334">
        <f>+H86*D90</f>
        <v>12740.000000000002</v>
      </c>
      <c r="G90" s="335"/>
      <c r="H90" s="74"/>
    </row>
    <row r="91" spans="1:8" ht="17.2" customHeight="1" x14ac:dyDescent="0.3">
      <c r="A91" s="64"/>
      <c r="B91" s="331" t="s">
        <v>22</v>
      </c>
      <c r="C91" s="332"/>
      <c r="D91" s="333">
        <v>0.01</v>
      </c>
      <c r="E91" s="332"/>
      <c r="F91" s="334">
        <f>+H86*D91</f>
        <v>455</v>
      </c>
      <c r="G91" s="335"/>
      <c r="H91" s="74"/>
    </row>
    <row r="92" spans="1:8" ht="17.2" customHeight="1" x14ac:dyDescent="0.3">
      <c r="A92" s="64"/>
      <c r="B92" s="331" t="s">
        <v>23</v>
      </c>
      <c r="C92" s="332"/>
      <c r="D92" s="333">
        <v>0.03</v>
      </c>
      <c r="E92" s="332"/>
      <c r="F92" s="334">
        <f>+H86*D92</f>
        <v>1365</v>
      </c>
      <c r="G92" s="335"/>
      <c r="H92" s="74"/>
    </row>
    <row r="93" spans="1:8" ht="17.2" customHeight="1" x14ac:dyDescent="0.3">
      <c r="A93" s="60"/>
      <c r="D93" s="83" t="s">
        <v>66</v>
      </c>
      <c r="E93" s="84"/>
      <c r="F93" s="84"/>
      <c r="G93" s="84"/>
      <c r="H93" s="73">
        <f>SUM(F90:G92)</f>
        <v>14560.000000000002</v>
      </c>
    </row>
    <row r="94" spans="1:8" ht="17.2" customHeight="1" x14ac:dyDescent="0.3">
      <c r="A94" s="60"/>
      <c r="E94" s="72"/>
      <c r="F94" s="72"/>
      <c r="G94" s="72"/>
      <c r="H94" s="74"/>
    </row>
    <row r="95" spans="1:8" ht="17.2" customHeight="1" x14ac:dyDescent="0.3">
      <c r="A95" s="60"/>
      <c r="D95" s="83" t="s">
        <v>67</v>
      </c>
      <c r="E95" s="84"/>
      <c r="F95" s="84"/>
      <c r="G95" s="72"/>
      <c r="H95" s="73">
        <f>H86+H93</f>
        <v>60060</v>
      </c>
    </row>
    <row r="96" spans="1:8" ht="17.2" customHeight="1" x14ac:dyDescent="0.3">
      <c r="A96" s="60"/>
      <c r="D96" s="83"/>
      <c r="E96" s="84"/>
      <c r="F96" s="84"/>
      <c r="G96" s="72"/>
      <c r="H96" s="74"/>
    </row>
    <row r="97" spans="1:8" ht="17.2" customHeight="1" x14ac:dyDescent="0.3">
      <c r="A97" s="60"/>
      <c r="E97" s="84"/>
      <c r="F97" s="84"/>
      <c r="G97" s="72"/>
      <c r="H97" s="74"/>
    </row>
    <row r="98" spans="1:8" ht="17.2" customHeight="1" x14ac:dyDescent="0.3">
      <c r="A98" s="85"/>
      <c r="B98" s="86"/>
      <c r="E98" s="47"/>
      <c r="F98" s="48"/>
      <c r="G98" s="49"/>
      <c r="H98" s="74"/>
    </row>
    <row r="99" spans="1:8" ht="17.2" customHeight="1" x14ac:dyDescent="0.3">
      <c r="A99" s="87" t="s">
        <v>68</v>
      </c>
      <c r="B99" s="51" t="s">
        <v>69</v>
      </c>
      <c r="E99" s="50" t="s">
        <v>28</v>
      </c>
      <c r="F99" s="51"/>
      <c r="G99" s="51"/>
      <c r="H99" s="88"/>
    </row>
    <row r="100" spans="1:8" ht="17.2" customHeight="1" x14ac:dyDescent="0.3">
      <c r="A100" s="89" t="s">
        <v>29</v>
      </c>
      <c r="B100" s="51"/>
      <c r="E100" s="51" t="str">
        <f ca="1">+$E$51</f>
        <v>SECRETARIO DE PLANEACION Y OBRAS PUBLICAS</v>
      </c>
      <c r="F100" s="51"/>
      <c r="G100" s="51"/>
      <c r="H100" s="88"/>
    </row>
    <row r="101" spans="1:8" ht="18.2" customHeight="1" x14ac:dyDescent="0.3">
      <c r="A101" s="90"/>
      <c r="B101" s="91"/>
      <c r="C101" s="86"/>
      <c r="D101" s="86"/>
      <c r="E101" s="91" t="str">
        <f ca="1">+$E$52</f>
        <v>SAN MIGUEL - PUTUMAYO</v>
      </c>
      <c r="F101" s="91"/>
      <c r="G101" s="91"/>
      <c r="H101" s="92"/>
    </row>
    <row r="102" spans="1:8" ht="17.2" customHeight="1" x14ac:dyDescent="0.3">
      <c r="A102" s="353"/>
      <c r="B102" s="354"/>
      <c r="C102" s="304" t="s">
        <v>3</v>
      </c>
      <c r="D102" s="306" t="s">
        <v>4</v>
      </c>
      <c r="E102" s="307"/>
      <c r="F102" s="1">
        <v>103</v>
      </c>
      <c r="G102" s="359"/>
      <c r="H102" s="360"/>
    </row>
    <row r="103" spans="1:8" ht="17.2" customHeight="1" x14ac:dyDescent="0.3">
      <c r="A103" s="355"/>
      <c r="B103" s="356"/>
      <c r="C103" s="305"/>
      <c r="D103" s="309" t="s">
        <v>5</v>
      </c>
      <c r="E103" s="310"/>
      <c r="F103" s="313">
        <v>51</v>
      </c>
      <c r="G103" s="361"/>
      <c r="H103" s="362"/>
    </row>
    <row r="104" spans="1:8" ht="17.2" customHeight="1" x14ac:dyDescent="0.3">
      <c r="A104" s="355"/>
      <c r="B104" s="356"/>
      <c r="C104" s="5" t="s">
        <v>6</v>
      </c>
      <c r="D104" s="311"/>
      <c r="E104" s="312"/>
      <c r="F104" s="314"/>
      <c r="G104" s="361"/>
      <c r="H104" s="362"/>
    </row>
    <row r="105" spans="1:8" ht="26.85" customHeight="1" x14ac:dyDescent="0.3">
      <c r="A105" s="355"/>
      <c r="B105" s="356"/>
      <c r="C105" s="56" t="s">
        <v>7</v>
      </c>
      <c r="D105" s="315" t="s">
        <v>8</v>
      </c>
      <c r="E105" s="316"/>
      <c r="F105" s="7">
        <v>1</v>
      </c>
      <c r="G105" s="361"/>
      <c r="H105" s="362"/>
    </row>
    <row r="106" spans="1:8" ht="17.2" customHeight="1" x14ac:dyDescent="0.3">
      <c r="A106" s="355"/>
      <c r="B106" s="356"/>
      <c r="C106" s="365" t="s">
        <v>9</v>
      </c>
      <c r="D106" s="367" t="s">
        <v>10</v>
      </c>
      <c r="E106" s="368"/>
      <c r="F106" s="5" t="s">
        <v>11</v>
      </c>
      <c r="G106" s="361"/>
      <c r="H106" s="362"/>
    </row>
    <row r="107" spans="1:8" ht="17.2" customHeight="1" x14ac:dyDescent="0.3">
      <c r="A107" s="357"/>
      <c r="B107" s="358"/>
      <c r="C107" s="366"/>
      <c r="D107" s="369"/>
      <c r="E107" s="370"/>
      <c r="F107" s="8">
        <f>$F$6</f>
        <v>45402</v>
      </c>
      <c r="G107" s="363"/>
      <c r="H107" s="364"/>
    </row>
    <row r="108" spans="1:8" ht="17.2" customHeight="1" thickBot="1" x14ac:dyDescent="0.35">
      <c r="A108" s="347"/>
      <c r="B108" s="348"/>
      <c r="C108" s="348"/>
      <c r="D108" s="348"/>
      <c r="E108" s="348"/>
      <c r="F108" s="348"/>
      <c r="G108" s="348"/>
      <c r="H108" s="349"/>
    </row>
    <row r="109" spans="1:8" ht="28.15" customHeight="1" thickBot="1" x14ac:dyDescent="0.35">
      <c r="A109" s="93">
        <v>2.1</v>
      </c>
      <c r="B109" s="350" t="str">
        <f>VLOOKUP(A109,PRESUPUESTO!$A$14:$G$22,2,)</f>
        <v>Suministro e instalacion pozo septico prefabricado 20.000 lts</v>
      </c>
      <c r="C109" s="351"/>
      <c r="D109" s="351"/>
      <c r="E109" s="351"/>
      <c r="F109" s="352"/>
      <c r="G109" s="58" t="s">
        <v>32</v>
      </c>
      <c r="H109" s="59" t="str">
        <f>VLOOKUP(A109,PRESUPUESTO!$A$14:$G$22,4,)</f>
        <v>UND</v>
      </c>
    </row>
    <row r="110" spans="1:8" ht="17.2" customHeight="1" x14ac:dyDescent="0.3">
      <c r="A110" s="60"/>
      <c r="H110" s="61"/>
    </row>
    <row r="111" spans="1:8" ht="17.2" customHeight="1" x14ac:dyDescent="0.3">
      <c r="A111" s="62" t="s">
        <v>33</v>
      </c>
      <c r="B111" s="336" t="s">
        <v>34</v>
      </c>
      <c r="C111" s="337"/>
      <c r="D111" s="337"/>
      <c r="E111" s="337"/>
      <c r="F111" s="337"/>
      <c r="G111" s="338"/>
      <c r="H111" s="61"/>
    </row>
    <row r="112" spans="1:8" ht="17.2" customHeight="1" x14ac:dyDescent="0.3">
      <c r="A112" s="63"/>
      <c r="B112" s="331" t="s">
        <v>35</v>
      </c>
      <c r="C112" s="332"/>
      <c r="D112" s="63" t="s">
        <v>36</v>
      </c>
      <c r="E112" s="63" t="s">
        <v>70</v>
      </c>
      <c r="F112" s="63" t="s">
        <v>71</v>
      </c>
      <c r="G112" s="63" t="s">
        <v>39</v>
      </c>
      <c r="H112" s="61"/>
    </row>
    <row r="113" spans="1:8" ht="17.2" customHeight="1" x14ac:dyDescent="0.3">
      <c r="A113" s="64"/>
      <c r="B113" s="343" t="s">
        <v>40</v>
      </c>
      <c r="C113" s="344"/>
      <c r="D113" s="64"/>
      <c r="E113" s="65"/>
      <c r="F113" s="65">
        <v>0.1</v>
      </c>
      <c r="G113" s="66">
        <f>ROUND(H130*F113,2)</f>
        <v>15400</v>
      </c>
      <c r="H113" s="67"/>
    </row>
    <row r="114" spans="1:8" ht="17.2" customHeight="1" x14ac:dyDescent="0.3">
      <c r="A114" s="64"/>
      <c r="B114" s="343" t="s">
        <v>92</v>
      </c>
      <c r="C114" s="344"/>
      <c r="D114" s="63" t="s">
        <v>83</v>
      </c>
      <c r="E114" s="69">
        <v>100000</v>
      </c>
      <c r="F114" s="65">
        <v>1</v>
      </c>
      <c r="G114" s="70">
        <f>E114*F114</f>
        <v>100000</v>
      </c>
      <c r="H114" s="67"/>
    </row>
    <row r="115" spans="1:8" ht="17.2" customHeight="1" x14ac:dyDescent="0.3">
      <c r="A115" s="71"/>
      <c r="E115" s="72" t="s">
        <v>41</v>
      </c>
      <c r="F115" s="72"/>
      <c r="G115" s="72"/>
      <c r="H115" s="73">
        <f>ROUND(SUM(G113:G114),2)</f>
        <v>115400</v>
      </c>
    </row>
    <row r="116" spans="1:8" ht="17.2" customHeight="1" x14ac:dyDescent="0.3">
      <c r="A116" s="62" t="s">
        <v>42</v>
      </c>
      <c r="B116" s="336" t="s">
        <v>43</v>
      </c>
      <c r="C116" s="337"/>
      <c r="D116" s="337"/>
      <c r="E116" s="337"/>
      <c r="F116" s="337"/>
      <c r="G116" s="338"/>
      <c r="H116" s="74"/>
    </row>
    <row r="117" spans="1:8" ht="17.2" customHeight="1" x14ac:dyDescent="0.3">
      <c r="A117" s="63"/>
      <c r="B117" s="331" t="s">
        <v>35</v>
      </c>
      <c r="C117" s="332"/>
      <c r="D117" s="64" t="s">
        <v>44</v>
      </c>
      <c r="E117" s="75" t="s">
        <v>45</v>
      </c>
      <c r="F117" s="75" t="s">
        <v>46</v>
      </c>
      <c r="G117" s="75" t="s">
        <v>39</v>
      </c>
      <c r="H117" s="74"/>
    </row>
    <row r="118" spans="1:8" ht="15.05" x14ac:dyDescent="0.3">
      <c r="A118" s="64"/>
      <c r="B118" s="345" t="s">
        <v>102</v>
      </c>
      <c r="C118" s="346"/>
      <c r="D118" s="94" t="s">
        <v>2</v>
      </c>
      <c r="E118" s="95">
        <v>1</v>
      </c>
      <c r="F118" s="96">
        <v>34108921</v>
      </c>
      <c r="G118" s="121">
        <f>ROUND(E118*F118,2)</f>
        <v>34108921</v>
      </c>
      <c r="H118" s="74"/>
    </row>
    <row r="119" spans="1:8" ht="17.2" customHeight="1" x14ac:dyDescent="0.3">
      <c r="A119" s="64"/>
      <c r="B119" s="341" t="s">
        <v>93</v>
      </c>
      <c r="C119" s="342"/>
      <c r="D119" s="94" t="s">
        <v>0</v>
      </c>
      <c r="E119" s="95">
        <v>1.5</v>
      </c>
      <c r="F119" s="96">
        <v>85000</v>
      </c>
      <c r="G119" s="68">
        <f t="shared" ref="G119" si="0">ROUND(E119*F119,2)</f>
        <v>127500</v>
      </c>
      <c r="H119" s="74"/>
    </row>
    <row r="120" spans="1:8" ht="17.2" customHeight="1" x14ac:dyDescent="0.3">
      <c r="A120" s="64"/>
      <c r="B120" s="341"/>
      <c r="C120" s="342"/>
      <c r="D120" s="94"/>
      <c r="E120" s="95"/>
      <c r="F120" s="96"/>
      <c r="G120" s="68"/>
      <c r="H120" s="74"/>
    </row>
    <row r="121" spans="1:8" ht="17.2" customHeight="1" x14ac:dyDescent="0.3">
      <c r="A121" s="64"/>
      <c r="B121" s="341"/>
      <c r="C121" s="342"/>
      <c r="D121" s="94"/>
      <c r="E121" s="95"/>
      <c r="F121" s="96"/>
      <c r="G121" s="68"/>
      <c r="H121" s="74"/>
    </row>
    <row r="122" spans="1:8" ht="17.2" customHeight="1" x14ac:dyDescent="0.3">
      <c r="A122" s="64"/>
      <c r="B122" s="341"/>
      <c r="C122" s="342"/>
      <c r="D122" s="94"/>
      <c r="E122" s="95"/>
      <c r="F122" s="96"/>
      <c r="G122" s="68"/>
      <c r="H122" s="74"/>
    </row>
    <row r="123" spans="1:8" ht="17.2" customHeight="1" x14ac:dyDescent="0.3">
      <c r="A123" s="64"/>
      <c r="B123" s="341"/>
      <c r="C123" s="342"/>
      <c r="D123" s="94"/>
      <c r="E123" s="95"/>
      <c r="F123" s="96"/>
      <c r="G123" s="68"/>
      <c r="H123" s="74"/>
    </row>
    <row r="124" spans="1:8" ht="17.2" customHeight="1" x14ac:dyDescent="0.3">
      <c r="A124" s="71" t="s">
        <v>47</v>
      </c>
      <c r="E124" s="72" t="s">
        <v>48</v>
      </c>
      <c r="F124" s="72"/>
      <c r="G124" s="72"/>
      <c r="H124" s="77">
        <f>ROUND(SUM(G118:G123),2)</f>
        <v>34236421</v>
      </c>
    </row>
    <row r="125" spans="1:8" ht="17.2" customHeight="1" x14ac:dyDescent="0.3">
      <c r="A125" s="62" t="s">
        <v>49</v>
      </c>
      <c r="B125" s="336" t="s">
        <v>50</v>
      </c>
      <c r="C125" s="337"/>
      <c r="D125" s="337"/>
      <c r="E125" s="337"/>
      <c r="F125" s="337"/>
      <c r="G125" s="338"/>
      <c r="H125" s="74"/>
    </row>
    <row r="126" spans="1:8" ht="17.2" customHeight="1" x14ac:dyDescent="0.3">
      <c r="A126" s="63" t="s">
        <v>51</v>
      </c>
      <c r="B126" s="63" t="s">
        <v>35</v>
      </c>
      <c r="C126" s="63" t="s">
        <v>52</v>
      </c>
      <c r="D126" s="63" t="s">
        <v>53</v>
      </c>
      <c r="E126" s="75" t="s">
        <v>54</v>
      </c>
      <c r="F126" s="65" t="s">
        <v>94</v>
      </c>
      <c r="G126" s="65" t="s">
        <v>39</v>
      </c>
      <c r="H126" s="74"/>
    </row>
    <row r="127" spans="1:8" ht="17.2" customHeight="1" x14ac:dyDescent="0.3">
      <c r="A127" s="63">
        <v>1</v>
      </c>
      <c r="B127" s="64" t="s">
        <v>80</v>
      </c>
      <c r="C127" s="78">
        <v>120000</v>
      </c>
      <c r="D127" s="79">
        <v>0.75</v>
      </c>
      <c r="E127" s="80">
        <f>+(A127*C127)+(A127*C127*D127)</f>
        <v>210000</v>
      </c>
      <c r="F127" s="76">
        <v>2</v>
      </c>
      <c r="G127" s="66">
        <f>ROUND(E127/(F127),2)</f>
        <v>105000</v>
      </c>
      <c r="H127" s="74"/>
    </row>
    <row r="128" spans="1:8" ht="17.2" customHeight="1" x14ac:dyDescent="0.3">
      <c r="A128" s="63">
        <v>2</v>
      </c>
      <c r="B128" s="64" t="s">
        <v>81</v>
      </c>
      <c r="C128" s="78">
        <v>70000</v>
      </c>
      <c r="D128" s="79">
        <v>0.75</v>
      </c>
      <c r="E128" s="80">
        <f>+(A128*C128)+(A128*C128*D128)</f>
        <v>245000</v>
      </c>
      <c r="F128" s="76">
        <v>5</v>
      </c>
      <c r="G128" s="66">
        <f>ROUND(E128/(F128),2)</f>
        <v>49000</v>
      </c>
      <c r="H128" s="74"/>
    </row>
    <row r="129" spans="1:8" ht="17.2" customHeight="1" x14ac:dyDescent="0.3">
      <c r="A129" s="64"/>
      <c r="B129" s="64"/>
      <c r="C129" s="64"/>
      <c r="D129" s="64"/>
      <c r="E129" s="65"/>
      <c r="F129" s="65"/>
      <c r="G129" s="65"/>
      <c r="H129" s="74"/>
    </row>
    <row r="130" spans="1:8" ht="17.2" customHeight="1" x14ac:dyDescent="0.3">
      <c r="A130" s="71"/>
      <c r="E130" s="72" t="s">
        <v>55</v>
      </c>
      <c r="F130" s="72"/>
      <c r="G130" s="72"/>
      <c r="H130" s="73">
        <f>ROUND(SUM(G127)+(G128),2)</f>
        <v>154000</v>
      </c>
    </row>
    <row r="131" spans="1:8" ht="17.2" customHeight="1" x14ac:dyDescent="0.3">
      <c r="A131" s="62" t="s">
        <v>56</v>
      </c>
      <c r="B131" s="336" t="s">
        <v>57</v>
      </c>
      <c r="C131" s="337"/>
      <c r="D131" s="337"/>
      <c r="E131" s="337"/>
      <c r="F131" s="337"/>
      <c r="G131" s="338"/>
      <c r="H131" s="74"/>
    </row>
    <row r="132" spans="1:8" ht="17.2" customHeight="1" x14ac:dyDescent="0.3">
      <c r="A132" s="64"/>
      <c r="B132" s="64" t="s">
        <v>35</v>
      </c>
      <c r="C132" s="63" t="s">
        <v>44</v>
      </c>
      <c r="D132" s="63" t="s">
        <v>58</v>
      </c>
      <c r="E132" s="63" t="s">
        <v>59</v>
      </c>
      <c r="F132" s="63"/>
      <c r="G132" s="65" t="s">
        <v>60</v>
      </c>
      <c r="H132" s="74"/>
    </row>
    <row r="133" spans="1:8" ht="17.2" customHeight="1" x14ac:dyDescent="0.3">
      <c r="A133" s="64"/>
      <c r="B133" s="64" t="s">
        <v>84</v>
      </c>
      <c r="C133" s="81" t="s">
        <v>85</v>
      </c>
      <c r="D133" s="64">
        <v>0.05</v>
      </c>
      <c r="E133" s="65">
        <f>3000000/15</f>
        <v>200000</v>
      </c>
      <c r="F133" s="65"/>
      <c r="G133" s="65">
        <f>D133*E133</f>
        <v>10000</v>
      </c>
      <c r="H133" s="74"/>
    </row>
    <row r="134" spans="1:8" ht="17.2" customHeight="1" x14ac:dyDescent="0.3">
      <c r="A134" s="64"/>
      <c r="B134" s="64"/>
      <c r="C134" s="82"/>
      <c r="D134" s="64"/>
      <c r="E134" s="65"/>
      <c r="F134" s="65"/>
      <c r="G134" s="65"/>
      <c r="H134" s="74"/>
    </row>
    <row r="135" spans="1:8" ht="17.2" customHeight="1" x14ac:dyDescent="0.3">
      <c r="A135" s="64"/>
      <c r="B135" s="64"/>
      <c r="C135" s="64"/>
      <c r="D135" s="64"/>
      <c r="E135" s="65"/>
      <c r="F135" s="65"/>
      <c r="G135" s="65"/>
      <c r="H135" s="74"/>
    </row>
    <row r="136" spans="1:8" ht="17.2" customHeight="1" x14ac:dyDescent="0.3">
      <c r="A136" s="71"/>
      <c r="E136" s="72" t="s">
        <v>55</v>
      </c>
      <c r="F136" s="72"/>
      <c r="G136" s="72"/>
      <c r="H136" s="120">
        <f>ROUND(SUM(G133)+(G134),0)</f>
        <v>10000</v>
      </c>
    </row>
    <row r="137" spans="1:8" ht="17.2" customHeight="1" x14ac:dyDescent="0.3">
      <c r="A137" s="60"/>
      <c r="E137" s="72"/>
      <c r="F137" s="72"/>
      <c r="G137" s="72"/>
      <c r="H137" s="74"/>
    </row>
    <row r="138" spans="1:8" ht="17.2" customHeight="1" x14ac:dyDescent="0.3">
      <c r="A138" s="60"/>
      <c r="D138" s="83" t="s">
        <v>61</v>
      </c>
      <c r="E138" s="84"/>
      <c r="F138" s="84"/>
      <c r="G138" s="84"/>
      <c r="H138" s="73">
        <f>ROUND(SUM(H115:H137),2)</f>
        <v>34515821</v>
      </c>
    </row>
    <row r="139" spans="1:8" ht="17.2" customHeight="1" x14ac:dyDescent="0.3">
      <c r="A139" s="60"/>
      <c r="E139" s="72"/>
      <c r="F139" s="72"/>
      <c r="G139" s="72"/>
      <c r="H139" s="74"/>
    </row>
    <row r="140" spans="1:8" ht="17.2" customHeight="1" x14ac:dyDescent="0.3">
      <c r="A140" s="62" t="s">
        <v>62</v>
      </c>
      <c r="B140" s="336" t="s">
        <v>63</v>
      </c>
      <c r="C140" s="337"/>
      <c r="D140" s="337"/>
      <c r="E140" s="337"/>
      <c r="F140" s="337"/>
      <c r="G140" s="338"/>
      <c r="H140" s="74"/>
    </row>
    <row r="141" spans="1:8" ht="17.2" customHeight="1" x14ac:dyDescent="0.3">
      <c r="A141" s="63"/>
      <c r="B141" s="331" t="s">
        <v>35</v>
      </c>
      <c r="C141" s="332"/>
      <c r="D141" s="331" t="s">
        <v>64</v>
      </c>
      <c r="E141" s="332"/>
      <c r="F141" s="339" t="s">
        <v>65</v>
      </c>
      <c r="G141" s="340"/>
      <c r="H141" s="74"/>
    </row>
    <row r="142" spans="1:8" ht="17.2" customHeight="1" x14ac:dyDescent="0.3">
      <c r="A142" s="64"/>
      <c r="B142" s="331" t="s">
        <v>21</v>
      </c>
      <c r="C142" s="332"/>
      <c r="D142" s="333">
        <v>0.28000000000000003</v>
      </c>
      <c r="E142" s="332"/>
      <c r="F142" s="334">
        <f>+H138*D142</f>
        <v>9664429.8800000008</v>
      </c>
      <c r="G142" s="335"/>
      <c r="H142" s="74"/>
    </row>
    <row r="143" spans="1:8" ht="17.2" customHeight="1" x14ac:dyDescent="0.3">
      <c r="A143" s="64"/>
      <c r="B143" s="331" t="s">
        <v>22</v>
      </c>
      <c r="C143" s="332"/>
      <c r="D143" s="333">
        <v>0.01</v>
      </c>
      <c r="E143" s="332"/>
      <c r="F143" s="334">
        <f>+H138*D143</f>
        <v>345158.21</v>
      </c>
      <c r="G143" s="335"/>
      <c r="H143" s="74"/>
    </row>
    <row r="144" spans="1:8" ht="17.2" customHeight="1" x14ac:dyDescent="0.3">
      <c r="A144" s="64"/>
      <c r="B144" s="331" t="s">
        <v>23</v>
      </c>
      <c r="C144" s="332"/>
      <c r="D144" s="333">
        <v>0.03</v>
      </c>
      <c r="E144" s="332"/>
      <c r="F144" s="334">
        <f>+H138*D144</f>
        <v>1035474.63</v>
      </c>
      <c r="G144" s="335"/>
      <c r="H144" s="74"/>
    </row>
    <row r="145" spans="1:8" ht="17.2" customHeight="1" x14ac:dyDescent="0.3">
      <c r="A145" s="60"/>
      <c r="D145" s="83" t="s">
        <v>66</v>
      </c>
      <c r="E145" s="84"/>
      <c r="F145" s="84"/>
      <c r="G145" s="84"/>
      <c r="H145" s="73">
        <f>SUM(F142:G144)</f>
        <v>11045062.720000003</v>
      </c>
    </row>
    <row r="146" spans="1:8" ht="17.2" customHeight="1" x14ac:dyDescent="0.3">
      <c r="A146" s="60"/>
      <c r="E146" s="72"/>
      <c r="F146" s="72"/>
      <c r="G146" s="72"/>
      <c r="H146" s="74"/>
    </row>
    <row r="147" spans="1:8" ht="17.2" customHeight="1" x14ac:dyDescent="0.3">
      <c r="A147" s="60"/>
      <c r="D147" s="83" t="s">
        <v>67</v>
      </c>
      <c r="E147" s="84"/>
      <c r="F147" s="84"/>
      <c r="G147" s="72"/>
      <c r="H147" s="73">
        <f>H138+H145</f>
        <v>45560883.719999999</v>
      </c>
    </row>
    <row r="148" spans="1:8" ht="17.2" customHeight="1" x14ac:dyDescent="0.3">
      <c r="A148" s="60"/>
      <c r="D148" s="83"/>
      <c r="E148" s="84"/>
      <c r="F148" s="84"/>
      <c r="G148" s="72"/>
      <c r="H148" s="74"/>
    </row>
    <row r="149" spans="1:8" ht="17.2" customHeight="1" x14ac:dyDescent="0.3">
      <c r="A149" s="60"/>
      <c r="E149" s="84"/>
      <c r="F149" s="84"/>
      <c r="G149" s="72"/>
      <c r="H149" s="74"/>
    </row>
    <row r="150" spans="1:8" ht="17.2" customHeight="1" x14ac:dyDescent="0.3">
      <c r="A150" s="85"/>
      <c r="B150" s="86"/>
      <c r="E150" s="47"/>
      <c r="F150" s="48"/>
      <c r="G150" s="49"/>
      <c r="H150" s="74"/>
    </row>
    <row r="151" spans="1:8" ht="17.2" customHeight="1" x14ac:dyDescent="0.3">
      <c r="A151" s="87" t="s">
        <v>68</v>
      </c>
      <c r="B151" s="51" t="s">
        <v>69</v>
      </c>
      <c r="E151" s="50" t="s">
        <v>28</v>
      </c>
      <c r="F151" s="51"/>
      <c r="G151" s="51"/>
      <c r="H151" s="88"/>
    </row>
    <row r="152" spans="1:8" ht="17.2" customHeight="1" x14ac:dyDescent="0.3">
      <c r="A152" s="89" t="s">
        <v>29</v>
      </c>
      <c r="B152" s="51"/>
      <c r="E152" s="51" t="str">
        <f ca="1">+$E$51</f>
        <v>SECRETARIO DE PLANEACION Y OBRAS PUBLICAS</v>
      </c>
      <c r="F152" s="51"/>
      <c r="G152" s="51"/>
      <c r="H152" s="88"/>
    </row>
    <row r="153" spans="1:8" ht="18.2" customHeight="1" x14ac:dyDescent="0.3">
      <c r="A153" s="90"/>
      <c r="B153" s="91"/>
      <c r="C153" s="86"/>
      <c r="D153" s="86"/>
      <c r="E153" s="91" t="str">
        <f ca="1">+$E$52</f>
        <v>SAN MIGUEL - PUTUMAYO</v>
      </c>
      <c r="F153" s="91"/>
      <c r="G153" s="91"/>
      <c r="H153" s="92"/>
    </row>
  </sheetData>
  <mergeCells count="110">
    <mergeCell ref="A10:H10"/>
    <mergeCell ref="B11:F11"/>
    <mergeCell ref="B13:G13"/>
    <mergeCell ref="A7:H7"/>
    <mergeCell ref="A8:H9"/>
    <mergeCell ref="A1:B6"/>
    <mergeCell ref="C1:C2"/>
    <mergeCell ref="D1:E1"/>
    <mergeCell ref="G1:H6"/>
    <mergeCell ref="D2:E3"/>
    <mergeCell ref="F2:F3"/>
    <mergeCell ref="D4:E4"/>
    <mergeCell ref="C5:C6"/>
    <mergeCell ref="D5:E6"/>
    <mergeCell ref="B20:C20"/>
    <mergeCell ref="B21:C21"/>
    <mergeCell ref="B22:C22"/>
    <mergeCell ref="B24:G24"/>
    <mergeCell ref="B30:G30"/>
    <mergeCell ref="B39:G39"/>
    <mergeCell ref="B14:C14"/>
    <mergeCell ref="B15:C15"/>
    <mergeCell ref="B18:G18"/>
    <mergeCell ref="B19:C19"/>
    <mergeCell ref="B16:C16"/>
    <mergeCell ref="B42:C42"/>
    <mergeCell ref="D42:E42"/>
    <mergeCell ref="F42:G42"/>
    <mergeCell ref="B43:C43"/>
    <mergeCell ref="D43:E43"/>
    <mergeCell ref="F43:G43"/>
    <mergeCell ref="B40:C40"/>
    <mergeCell ref="D40:E40"/>
    <mergeCell ref="F40:G40"/>
    <mergeCell ref="B41:C41"/>
    <mergeCell ref="D41:E41"/>
    <mergeCell ref="F41:G41"/>
    <mergeCell ref="A59:H59"/>
    <mergeCell ref="B60:F60"/>
    <mergeCell ref="B62:G62"/>
    <mergeCell ref="B63:C63"/>
    <mergeCell ref="B64:C64"/>
    <mergeCell ref="A53:B58"/>
    <mergeCell ref="C53:C54"/>
    <mergeCell ref="D53:E53"/>
    <mergeCell ref="G53:H58"/>
    <mergeCell ref="D54:E55"/>
    <mergeCell ref="F54:F55"/>
    <mergeCell ref="D56:E56"/>
    <mergeCell ref="C57:C58"/>
    <mergeCell ref="D57:E58"/>
    <mergeCell ref="B71:C71"/>
    <mergeCell ref="B73:G73"/>
    <mergeCell ref="B79:G79"/>
    <mergeCell ref="B88:G88"/>
    <mergeCell ref="B66:G66"/>
    <mergeCell ref="B67:C67"/>
    <mergeCell ref="B68:C68"/>
    <mergeCell ref="B69:C69"/>
    <mergeCell ref="B70:C70"/>
    <mergeCell ref="B91:C91"/>
    <mergeCell ref="D91:E91"/>
    <mergeCell ref="F91:G91"/>
    <mergeCell ref="B92:C92"/>
    <mergeCell ref="D92:E92"/>
    <mergeCell ref="F92:G92"/>
    <mergeCell ref="B89:C89"/>
    <mergeCell ref="D89:E89"/>
    <mergeCell ref="F89:G89"/>
    <mergeCell ref="B90:C90"/>
    <mergeCell ref="D90:E90"/>
    <mergeCell ref="F90:G90"/>
    <mergeCell ref="A108:H108"/>
    <mergeCell ref="B109:F109"/>
    <mergeCell ref="B111:G111"/>
    <mergeCell ref="B112:C112"/>
    <mergeCell ref="B113:C113"/>
    <mergeCell ref="A102:B107"/>
    <mergeCell ref="C102:C103"/>
    <mergeCell ref="D102:E102"/>
    <mergeCell ref="G102:H107"/>
    <mergeCell ref="D103:E104"/>
    <mergeCell ref="F103:F104"/>
    <mergeCell ref="D105:E105"/>
    <mergeCell ref="C106:C107"/>
    <mergeCell ref="D106:E107"/>
    <mergeCell ref="B120:C120"/>
    <mergeCell ref="B121:C121"/>
    <mergeCell ref="B122:C122"/>
    <mergeCell ref="B123:C123"/>
    <mergeCell ref="B125:G125"/>
    <mergeCell ref="B131:G131"/>
    <mergeCell ref="B114:C114"/>
    <mergeCell ref="B116:G116"/>
    <mergeCell ref="B117:C117"/>
    <mergeCell ref="B118:C118"/>
    <mergeCell ref="B119:C119"/>
    <mergeCell ref="B143:C143"/>
    <mergeCell ref="D143:E143"/>
    <mergeCell ref="F143:G143"/>
    <mergeCell ref="B144:C144"/>
    <mergeCell ref="D144:E144"/>
    <mergeCell ref="F144:G144"/>
    <mergeCell ref="B140:G140"/>
    <mergeCell ref="B141:C141"/>
    <mergeCell ref="D141:E141"/>
    <mergeCell ref="F141:G141"/>
    <mergeCell ref="B142:C142"/>
    <mergeCell ref="D142:E142"/>
    <mergeCell ref="F142:G14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rowBreaks count="2" manualBreakCount="2">
    <brk id="52" max="7" man="1"/>
    <brk id="101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B7CA-D562-4CD7-935A-E1270214B96B}">
  <sheetPr>
    <tabColor rgb="FF92D050"/>
    <pageSetUpPr fitToPage="1"/>
  </sheetPr>
  <dimension ref="A1:T55"/>
  <sheetViews>
    <sheetView view="pageBreakPreview" zoomScale="75" zoomScaleNormal="85" zoomScaleSheetLayoutView="75" workbookViewId="0">
      <selection activeCell="M37" sqref="M37"/>
    </sheetView>
  </sheetViews>
  <sheetFormatPr baseColWidth="10" defaultRowHeight="15.05" x14ac:dyDescent="0.3"/>
  <cols>
    <col min="1" max="1" width="14.109375" customWidth="1"/>
    <col min="2" max="2" width="14.33203125" customWidth="1"/>
    <col min="3" max="3" width="34.6640625" bestFit="1" customWidth="1"/>
    <col min="4" max="4" width="16.6640625" customWidth="1"/>
    <col min="5" max="5" width="11.6640625" customWidth="1"/>
    <col min="6" max="6" width="13.21875" customWidth="1"/>
    <col min="7" max="7" width="8.33203125" customWidth="1"/>
    <col min="8" max="8" width="6.33203125" customWidth="1"/>
    <col min="9" max="9" width="19.109375" customWidth="1"/>
    <col min="11" max="11" width="15.33203125" bestFit="1" customWidth="1"/>
  </cols>
  <sheetData>
    <row r="1" spans="1:9" ht="28.15" customHeight="1" x14ac:dyDescent="0.3">
      <c r="A1" s="402"/>
      <c r="B1" s="403"/>
      <c r="C1" s="408" t="s">
        <v>3</v>
      </c>
      <c r="D1" s="409"/>
      <c r="E1" s="412" t="s">
        <v>4</v>
      </c>
      <c r="F1" s="413"/>
      <c r="G1" s="414">
        <v>103</v>
      </c>
      <c r="H1" s="414"/>
      <c r="I1" s="415"/>
    </row>
    <row r="2" spans="1:9" ht="17.55" customHeight="1" x14ac:dyDescent="0.3">
      <c r="A2" s="404"/>
      <c r="B2" s="405"/>
      <c r="C2" s="410"/>
      <c r="D2" s="411"/>
      <c r="E2" s="309" t="s">
        <v>5</v>
      </c>
      <c r="F2" s="418"/>
      <c r="G2" s="420">
        <v>51</v>
      </c>
      <c r="H2" s="420"/>
      <c r="I2" s="416"/>
    </row>
    <row r="3" spans="1:9" x14ac:dyDescent="0.3">
      <c r="A3" s="404"/>
      <c r="B3" s="405"/>
      <c r="C3" s="421" t="s">
        <v>6</v>
      </c>
      <c r="D3" s="422"/>
      <c r="E3" s="311"/>
      <c r="F3" s="419"/>
      <c r="G3" s="420"/>
      <c r="H3" s="420"/>
      <c r="I3" s="416"/>
    </row>
    <row r="4" spans="1:9" x14ac:dyDescent="0.3">
      <c r="A4" s="404"/>
      <c r="B4" s="405"/>
      <c r="C4" s="423" t="s">
        <v>7</v>
      </c>
      <c r="D4" s="424"/>
      <c r="E4" s="315" t="s">
        <v>8</v>
      </c>
      <c r="F4" s="425"/>
      <c r="G4" s="420">
        <v>1</v>
      </c>
      <c r="H4" s="420"/>
      <c r="I4" s="416"/>
    </row>
    <row r="5" spans="1:9" ht="14.4" customHeight="1" x14ac:dyDescent="0.3">
      <c r="A5" s="404"/>
      <c r="B5" s="405"/>
      <c r="C5" s="309" t="s">
        <v>9</v>
      </c>
      <c r="D5" s="310"/>
      <c r="E5" s="309" t="s">
        <v>10</v>
      </c>
      <c r="F5" s="418"/>
      <c r="G5" s="429" t="s">
        <v>11</v>
      </c>
      <c r="H5" s="429"/>
      <c r="I5" s="416"/>
    </row>
    <row r="6" spans="1:9" ht="15.75" thickBot="1" x14ac:dyDescent="0.35">
      <c r="A6" s="406"/>
      <c r="B6" s="407"/>
      <c r="C6" s="426"/>
      <c r="D6" s="427"/>
      <c r="E6" s="426"/>
      <c r="F6" s="428"/>
      <c r="G6" s="430">
        <v>44216</v>
      </c>
      <c r="H6" s="430"/>
      <c r="I6" s="417"/>
    </row>
    <row r="7" spans="1:9" ht="15.75" thickBot="1" x14ac:dyDescent="0.35">
      <c r="A7" s="97"/>
      <c r="B7" s="98"/>
      <c r="C7" s="98"/>
      <c r="D7" s="98"/>
      <c r="E7" s="98"/>
      <c r="F7" s="98"/>
      <c r="G7" s="98"/>
      <c r="H7" s="98"/>
      <c r="I7" s="99"/>
    </row>
    <row r="8" spans="1:9" ht="19.649999999999999" customHeight="1" x14ac:dyDescent="0.3">
      <c r="A8" s="396" t="str">
        <f>PRESUPUESTO!A8</f>
        <v>MEJORAMIENTO DEL SISTEMA DE TRATAMIENTO DE AGUAS RESIDUALES EN LA INSTITUCION EDUCATIVA RURAL SAN CARLOS, SEDE PRINCIPAL, EN EL MUNICIPIO DE SAN MIGUEL PUTUMAYO.</v>
      </c>
      <c r="B8" s="397"/>
      <c r="C8" s="397"/>
      <c r="D8" s="397"/>
      <c r="E8" s="397"/>
      <c r="F8" s="397"/>
      <c r="G8" s="397"/>
      <c r="H8" s="397"/>
      <c r="I8" s="398"/>
    </row>
    <row r="9" spans="1:9" ht="13.75" customHeight="1" thickBot="1" x14ac:dyDescent="0.35">
      <c r="A9" s="399"/>
      <c r="B9" s="400"/>
      <c r="C9" s="400"/>
      <c r="D9" s="400"/>
      <c r="E9" s="400"/>
      <c r="F9" s="400"/>
      <c r="G9" s="400"/>
      <c r="H9" s="400"/>
      <c r="I9" s="401"/>
    </row>
    <row r="10" spans="1:9" ht="15.75" thickBot="1" x14ac:dyDescent="0.35">
      <c r="A10" s="100"/>
      <c r="B10" s="101"/>
      <c r="C10" s="101"/>
      <c r="D10" s="101"/>
      <c r="E10" s="98"/>
      <c r="F10" s="98"/>
      <c r="G10" s="98"/>
      <c r="H10" s="98"/>
      <c r="I10" s="102"/>
    </row>
    <row r="11" spans="1:9" x14ac:dyDescent="0.3">
      <c r="A11" s="103"/>
      <c r="B11" s="103"/>
      <c r="C11" s="103"/>
      <c r="D11" s="103"/>
      <c r="E11" s="103"/>
      <c r="F11" s="103"/>
      <c r="G11" s="103"/>
      <c r="H11" s="103"/>
      <c r="I11" s="103"/>
    </row>
    <row r="12" spans="1:9" x14ac:dyDescent="0.3">
      <c r="A12" s="395" t="s">
        <v>72</v>
      </c>
      <c r="B12" s="395"/>
      <c r="C12" s="395"/>
      <c r="D12" s="395"/>
      <c r="E12" s="395"/>
      <c r="F12" s="395"/>
      <c r="G12" s="395"/>
      <c r="H12" s="395"/>
      <c r="I12" s="395"/>
    </row>
    <row r="13" spans="1:9" x14ac:dyDescent="0.3">
      <c r="A13" s="104"/>
      <c r="B13" s="104"/>
      <c r="C13" s="104"/>
      <c r="D13" s="104"/>
      <c r="E13" s="104"/>
      <c r="F13" s="104"/>
      <c r="G13" s="104"/>
      <c r="H13" s="104"/>
      <c r="I13" s="104"/>
    </row>
    <row r="14" spans="1:9" x14ac:dyDescent="0.3">
      <c r="A14" s="104"/>
      <c r="B14" s="104"/>
      <c r="C14" s="104"/>
      <c r="D14" s="104"/>
      <c r="E14" s="104"/>
      <c r="F14" s="104"/>
      <c r="G14" s="104"/>
      <c r="H14" s="104"/>
      <c r="I14" s="104"/>
    </row>
    <row r="15" spans="1:9" ht="14.4" customHeight="1" x14ac:dyDescent="0.3">
      <c r="A15" s="386" t="s">
        <v>13</v>
      </c>
      <c r="B15" s="386"/>
      <c r="C15" s="387" t="str">
        <f>VLOOKUP(A16,PRESUPUESTO!$A$14:$G$22,2,)</f>
        <v>Excavacion a maquina en material comun H=1.5 - 2.5m</v>
      </c>
      <c r="D15" s="388"/>
      <c r="E15" s="388"/>
      <c r="F15" s="388"/>
      <c r="G15" s="388"/>
      <c r="H15" s="389"/>
      <c r="I15" s="105" t="s">
        <v>15</v>
      </c>
    </row>
    <row r="16" spans="1:9" x14ac:dyDescent="0.3">
      <c r="A16" s="386">
        <v>1.1000000000000001</v>
      </c>
      <c r="B16" s="386"/>
      <c r="C16" s="390"/>
      <c r="D16" s="391"/>
      <c r="E16" s="391"/>
      <c r="F16" s="391"/>
      <c r="G16" s="391"/>
      <c r="H16" s="392"/>
      <c r="I16" s="105" t="str">
        <f>VLOOKUP(A16,PRESUPUESTO!$A$14:$G$22,4,)</f>
        <v>M3</v>
      </c>
    </row>
    <row r="17" spans="1:10" ht="16.850000000000001" customHeight="1" x14ac:dyDescent="0.3">
      <c r="A17" s="386" t="s">
        <v>14</v>
      </c>
      <c r="B17" s="386"/>
      <c r="C17" s="386"/>
      <c r="D17" s="105" t="s">
        <v>73</v>
      </c>
      <c r="E17" s="105" t="s">
        <v>74</v>
      </c>
      <c r="F17" s="105" t="s">
        <v>77</v>
      </c>
      <c r="G17" s="393" t="s">
        <v>97</v>
      </c>
      <c r="H17" s="394"/>
      <c r="I17" s="105" t="s">
        <v>1</v>
      </c>
      <c r="J17" s="106"/>
    </row>
    <row r="18" spans="1:10" x14ac:dyDescent="0.3">
      <c r="A18" s="383" t="s">
        <v>95</v>
      </c>
      <c r="B18" s="383"/>
      <c r="C18" s="107" t="s">
        <v>96</v>
      </c>
      <c r="D18" s="107">
        <v>2.5</v>
      </c>
      <c r="E18" s="107">
        <v>5.5</v>
      </c>
      <c r="F18" s="107">
        <v>2</v>
      </c>
      <c r="G18" s="384">
        <f>D18*E18*F18</f>
        <v>27.5</v>
      </c>
      <c r="H18" s="385"/>
      <c r="I18" s="108">
        <f>G18</f>
        <v>27.5</v>
      </c>
      <c r="J18" s="109"/>
    </row>
    <row r="19" spans="1:10" x14ac:dyDescent="0.3">
      <c r="A19" s="383"/>
      <c r="B19" s="383"/>
      <c r="C19" s="107"/>
      <c r="D19" s="107"/>
      <c r="E19" s="107"/>
      <c r="F19" s="107"/>
      <c r="G19" s="384"/>
      <c r="H19" s="385"/>
      <c r="I19" s="108"/>
      <c r="J19" s="109"/>
    </row>
    <row r="20" spans="1:10" x14ac:dyDescent="0.3">
      <c r="A20" s="383"/>
      <c r="B20" s="383"/>
      <c r="C20" s="107"/>
      <c r="D20" s="107"/>
      <c r="E20" s="107"/>
      <c r="F20" s="107"/>
      <c r="G20" s="384"/>
      <c r="H20" s="385"/>
      <c r="I20" s="108"/>
      <c r="J20" s="109"/>
    </row>
    <row r="21" spans="1:10" x14ac:dyDescent="0.3">
      <c r="A21" s="383"/>
      <c r="B21" s="383"/>
      <c r="C21" s="107"/>
      <c r="D21" s="107"/>
      <c r="E21" s="107"/>
      <c r="F21" s="107"/>
      <c r="G21" s="384"/>
      <c r="H21" s="385"/>
      <c r="I21" s="108"/>
      <c r="J21" s="109"/>
    </row>
    <row r="22" spans="1:10" x14ac:dyDescent="0.3">
      <c r="A22" s="383"/>
      <c r="B22" s="383"/>
      <c r="C22" s="107"/>
      <c r="D22" s="107"/>
      <c r="E22" s="107"/>
      <c r="F22" s="107"/>
      <c r="G22" s="384"/>
      <c r="H22" s="385"/>
      <c r="I22" s="108"/>
      <c r="J22" s="109"/>
    </row>
    <row r="23" spans="1:10" x14ac:dyDescent="0.3">
      <c r="A23" s="380" t="s">
        <v>1</v>
      </c>
      <c r="B23" s="381"/>
      <c r="C23" s="381"/>
      <c r="D23" s="381"/>
      <c r="E23" s="381"/>
      <c r="F23" s="381"/>
      <c r="G23" s="381"/>
      <c r="H23" s="382"/>
      <c r="I23" s="110">
        <f>SUM(I18:I22)</f>
        <v>27.5</v>
      </c>
    </row>
    <row r="24" spans="1:10" x14ac:dyDescent="0.3">
      <c r="A24" s="111"/>
      <c r="B24" s="111"/>
      <c r="C24" s="111"/>
      <c r="D24" s="111"/>
      <c r="E24" s="111"/>
      <c r="F24" s="111"/>
      <c r="G24" s="111"/>
      <c r="H24" s="111"/>
      <c r="I24" s="112"/>
    </row>
    <row r="25" spans="1:10" ht="14.4" customHeight="1" x14ac:dyDescent="0.3">
      <c r="A25" s="386" t="s">
        <v>13</v>
      </c>
      <c r="B25" s="386"/>
      <c r="C25" s="387" t="str">
        <f>VLOOKUP(A26,PRESUPUESTO!$A$14:$G$22,2,)</f>
        <v>Excavacion manual para zanjas de redes sanitarias</v>
      </c>
      <c r="D25" s="388"/>
      <c r="E25" s="388"/>
      <c r="F25" s="388"/>
      <c r="G25" s="388"/>
      <c r="H25" s="389"/>
      <c r="I25" s="105" t="s">
        <v>15</v>
      </c>
    </row>
    <row r="26" spans="1:10" x14ac:dyDescent="0.3">
      <c r="A26" s="386">
        <v>1.2</v>
      </c>
      <c r="B26" s="386"/>
      <c r="C26" s="390"/>
      <c r="D26" s="391"/>
      <c r="E26" s="391"/>
      <c r="F26" s="391"/>
      <c r="G26" s="391"/>
      <c r="H26" s="392"/>
      <c r="I26" s="105" t="str">
        <f>VLOOKUP(A26,PRESUPUESTO!$A$14:$G$22,4,)</f>
        <v>M3</v>
      </c>
    </row>
    <row r="27" spans="1:10" ht="16.850000000000001" customHeight="1" x14ac:dyDescent="0.3">
      <c r="A27" s="386" t="s">
        <v>14</v>
      </c>
      <c r="B27" s="386"/>
      <c r="C27" s="386"/>
      <c r="D27" s="105" t="s">
        <v>73</v>
      </c>
      <c r="E27" s="105" t="s">
        <v>74</v>
      </c>
      <c r="F27" s="105" t="s">
        <v>77</v>
      </c>
      <c r="G27" s="393" t="s">
        <v>75</v>
      </c>
      <c r="H27" s="394"/>
      <c r="I27" s="105" t="s">
        <v>1</v>
      </c>
      <c r="J27" s="106"/>
    </row>
    <row r="28" spans="1:10" x14ac:dyDescent="0.3">
      <c r="A28" s="383" t="s">
        <v>98</v>
      </c>
      <c r="B28" s="383"/>
      <c r="C28" s="107" t="s">
        <v>99</v>
      </c>
      <c r="D28" s="107">
        <v>0.5</v>
      </c>
      <c r="E28" s="107">
        <v>70</v>
      </c>
      <c r="F28" s="107">
        <v>1</v>
      </c>
      <c r="G28" s="384">
        <v>1</v>
      </c>
      <c r="H28" s="385"/>
      <c r="I28" s="108">
        <f>D28*E28*F28*G28</f>
        <v>35</v>
      </c>
      <c r="J28" s="109"/>
    </row>
    <row r="29" spans="1:10" x14ac:dyDescent="0.3">
      <c r="A29" s="383"/>
      <c r="B29" s="383"/>
      <c r="C29" s="107"/>
      <c r="D29" s="107"/>
      <c r="E29" s="107"/>
      <c r="F29" s="107"/>
      <c r="G29" s="384"/>
      <c r="H29" s="385"/>
      <c r="I29" s="108"/>
      <c r="J29" s="109"/>
    </row>
    <row r="30" spans="1:10" x14ac:dyDescent="0.3">
      <c r="A30" s="383"/>
      <c r="B30" s="383"/>
      <c r="C30" s="107"/>
      <c r="D30" s="107"/>
      <c r="E30" s="107"/>
      <c r="F30" s="107"/>
      <c r="G30" s="384"/>
      <c r="H30" s="385"/>
      <c r="I30" s="108"/>
      <c r="J30" s="109"/>
    </row>
    <row r="31" spans="1:10" x14ac:dyDescent="0.3">
      <c r="A31" s="383"/>
      <c r="B31" s="383"/>
      <c r="C31" s="107"/>
      <c r="D31" s="107"/>
      <c r="E31" s="107"/>
      <c r="F31" s="107"/>
      <c r="G31" s="384"/>
      <c r="H31" s="385"/>
      <c r="I31" s="108"/>
      <c r="J31" s="109"/>
    </row>
    <row r="32" spans="1:10" x14ac:dyDescent="0.3">
      <c r="A32" s="380" t="s">
        <v>1</v>
      </c>
      <c r="B32" s="381"/>
      <c r="C32" s="381"/>
      <c r="D32" s="381"/>
      <c r="E32" s="381"/>
      <c r="F32" s="381"/>
      <c r="G32" s="381"/>
      <c r="H32" s="382"/>
      <c r="I32" s="110">
        <f>SUM(I28:I31)</f>
        <v>35</v>
      </c>
    </row>
    <row r="33" spans="1:10" x14ac:dyDescent="0.3">
      <c r="A33" s="111"/>
      <c r="B33" s="111"/>
      <c r="C33" s="111"/>
      <c r="D33" s="111"/>
      <c r="E33" s="111"/>
      <c r="F33" s="111"/>
      <c r="G33" s="111"/>
      <c r="H33" s="111"/>
      <c r="I33" s="112"/>
    </row>
    <row r="34" spans="1:10" ht="14.4" customHeight="1" x14ac:dyDescent="0.3">
      <c r="A34" s="386" t="s">
        <v>13</v>
      </c>
      <c r="B34" s="386"/>
      <c r="C34" s="387" t="str">
        <f>VLOOKUP(A35,PRESUPUESTO!$A$14:$G$22,2,)</f>
        <v>Suministro e instalacion pozo septico prefabricado 20.000 lts</v>
      </c>
      <c r="D34" s="388"/>
      <c r="E34" s="388"/>
      <c r="F34" s="388"/>
      <c r="G34" s="388"/>
      <c r="H34" s="389"/>
      <c r="I34" s="105" t="s">
        <v>15</v>
      </c>
    </row>
    <row r="35" spans="1:10" x14ac:dyDescent="0.3">
      <c r="A35" s="386">
        <v>2.1</v>
      </c>
      <c r="B35" s="386"/>
      <c r="C35" s="390"/>
      <c r="D35" s="391"/>
      <c r="E35" s="391"/>
      <c r="F35" s="391"/>
      <c r="G35" s="391"/>
      <c r="H35" s="392"/>
      <c r="I35" s="105" t="str">
        <f>VLOOKUP(A35,PRESUPUESTO!$A$14:$G$22,4,)</f>
        <v>UND</v>
      </c>
    </row>
    <row r="36" spans="1:10" ht="16.850000000000001" customHeight="1" x14ac:dyDescent="0.3">
      <c r="A36" s="386" t="s">
        <v>14</v>
      </c>
      <c r="B36" s="386"/>
      <c r="C36" s="386"/>
      <c r="D36" s="105" t="s">
        <v>73</v>
      </c>
      <c r="E36" s="105" t="s">
        <v>76</v>
      </c>
      <c r="F36" s="105" t="s">
        <v>77</v>
      </c>
      <c r="G36" s="393" t="s">
        <v>75</v>
      </c>
      <c r="H36" s="394"/>
      <c r="I36" s="105" t="s">
        <v>1</v>
      </c>
      <c r="J36" s="106"/>
    </row>
    <row r="37" spans="1:10" x14ac:dyDescent="0.3">
      <c r="A37" s="383" t="s">
        <v>89</v>
      </c>
      <c r="B37" s="383"/>
      <c r="C37" s="107" t="s">
        <v>100</v>
      </c>
      <c r="D37" s="107"/>
      <c r="E37" s="107"/>
      <c r="F37" s="107"/>
      <c r="G37" s="384">
        <v>1</v>
      </c>
      <c r="H37" s="385"/>
      <c r="I37" s="108">
        <f>G37</f>
        <v>1</v>
      </c>
      <c r="J37" s="109"/>
    </row>
    <row r="38" spans="1:10" x14ac:dyDescent="0.3">
      <c r="A38" s="383"/>
      <c r="B38" s="383"/>
      <c r="C38" s="107"/>
      <c r="D38" s="107"/>
      <c r="E38" s="107"/>
      <c r="F38" s="107"/>
      <c r="G38" s="384"/>
      <c r="H38" s="385"/>
      <c r="I38" s="108"/>
      <c r="J38" s="109"/>
    </row>
    <row r="39" spans="1:10" x14ac:dyDescent="0.3">
      <c r="A39" s="383"/>
      <c r="B39" s="383"/>
      <c r="C39" s="113"/>
      <c r="D39" s="107"/>
      <c r="E39" s="107"/>
      <c r="F39" s="107"/>
      <c r="G39" s="384"/>
      <c r="H39" s="385"/>
      <c r="I39" s="108"/>
      <c r="J39" s="109"/>
    </row>
    <row r="40" spans="1:10" x14ac:dyDescent="0.3">
      <c r="A40" s="383"/>
      <c r="B40" s="383"/>
      <c r="C40" s="113"/>
      <c r="D40" s="107"/>
      <c r="E40" s="107"/>
      <c r="F40" s="107"/>
      <c r="G40" s="384"/>
      <c r="H40" s="385"/>
      <c r="I40" s="108"/>
      <c r="J40" s="109"/>
    </row>
    <row r="41" spans="1:10" x14ac:dyDescent="0.3">
      <c r="A41" s="383"/>
      <c r="B41" s="383"/>
      <c r="C41" s="113"/>
      <c r="D41" s="107"/>
      <c r="E41" s="107"/>
      <c r="F41" s="107"/>
      <c r="G41" s="384"/>
      <c r="H41" s="385"/>
      <c r="I41" s="108"/>
      <c r="J41" s="109"/>
    </row>
    <row r="42" spans="1:10" x14ac:dyDescent="0.3">
      <c r="A42" s="383"/>
      <c r="B42" s="383"/>
      <c r="C42" s="113"/>
      <c r="D42" s="107"/>
      <c r="E42" s="107"/>
      <c r="F42" s="107"/>
      <c r="G42" s="384"/>
      <c r="H42" s="385"/>
      <c r="I42" s="108"/>
      <c r="J42" s="109"/>
    </row>
    <row r="43" spans="1:10" x14ac:dyDescent="0.3">
      <c r="A43" s="383"/>
      <c r="B43" s="383"/>
      <c r="C43" s="113"/>
      <c r="D43" s="107"/>
      <c r="E43" s="107"/>
      <c r="F43" s="107"/>
      <c r="G43" s="384"/>
      <c r="H43" s="385"/>
      <c r="I43" s="108"/>
      <c r="J43" s="109"/>
    </row>
    <row r="44" spans="1:10" x14ac:dyDescent="0.3">
      <c r="A44" s="380" t="s">
        <v>1</v>
      </c>
      <c r="B44" s="381"/>
      <c r="C44" s="381"/>
      <c r="D44" s="381"/>
      <c r="E44" s="381"/>
      <c r="F44" s="381"/>
      <c r="G44" s="381"/>
      <c r="H44" s="382"/>
      <c r="I44" s="110">
        <f>SUM(I37:I43)</f>
        <v>1</v>
      </c>
    </row>
    <row r="45" spans="1:10" x14ac:dyDescent="0.3">
      <c r="A45" s="114"/>
      <c r="B45" s="114"/>
      <c r="C45" s="114"/>
      <c r="D45" s="114"/>
      <c r="E45" s="114"/>
      <c r="F45" s="114"/>
      <c r="G45" s="114"/>
      <c r="H45" s="114"/>
      <c r="I45" s="115"/>
    </row>
    <row r="46" spans="1:10" x14ac:dyDescent="0.3">
      <c r="A46" s="114"/>
      <c r="B46" s="114"/>
      <c r="C46" s="114"/>
      <c r="D46" s="114"/>
      <c r="E46" s="114"/>
      <c r="F46" s="114"/>
      <c r="G46" s="114"/>
      <c r="H46" s="114"/>
      <c r="I46" s="115"/>
    </row>
    <row r="47" spans="1:10" x14ac:dyDescent="0.3">
      <c r="A47" s="114"/>
      <c r="B47" s="114"/>
      <c r="C47" s="114"/>
      <c r="D47" s="114"/>
      <c r="E47" s="114"/>
      <c r="F47" s="114"/>
      <c r="G47" s="114"/>
      <c r="H47" s="114"/>
      <c r="I47" s="115"/>
    </row>
    <row r="48" spans="1:10" x14ac:dyDescent="0.3">
      <c r="A48" s="114"/>
      <c r="B48" s="114"/>
      <c r="C48" s="114"/>
      <c r="D48" s="114"/>
      <c r="E48" s="114"/>
      <c r="F48" s="114"/>
      <c r="G48" s="114"/>
      <c r="H48" s="114"/>
      <c r="I48" s="115"/>
    </row>
    <row r="49" spans="1:20" s="3" customFormat="1" x14ac:dyDescent="0.3">
      <c r="A49" s="116"/>
      <c r="B49" s="46" t="s">
        <v>26</v>
      </c>
      <c r="C49" s="46"/>
      <c r="D49" s="46"/>
      <c r="E49" s="379" t="s">
        <v>78</v>
      </c>
      <c r="F49" s="379"/>
      <c r="G49" s="379"/>
      <c r="H49" s="379"/>
      <c r="I49" s="117"/>
      <c r="J49" s="23"/>
      <c r="K49" s="23"/>
      <c r="T49" s="4"/>
    </row>
    <row r="50" spans="1:20" s="3" customFormat="1" x14ac:dyDescent="0.3">
      <c r="A50" s="116"/>
      <c r="B50" s="50" t="s">
        <v>27</v>
      </c>
      <c r="C50" s="51"/>
      <c r="D50" s="46"/>
      <c r="E50" s="50" t="s">
        <v>28</v>
      </c>
      <c r="F50" s="51"/>
      <c r="G50" s="51"/>
      <c r="H50" s="117"/>
      <c r="I50" s="117"/>
      <c r="J50" s="23"/>
      <c r="K50" s="23"/>
      <c r="T50" s="4"/>
    </row>
    <row r="51" spans="1:20" s="3" customFormat="1" x14ac:dyDescent="0.3">
      <c r="A51" s="116"/>
      <c r="B51" s="51" t="s">
        <v>29</v>
      </c>
      <c r="C51" s="52"/>
      <c r="D51" s="52"/>
      <c r="E51" s="51" t="s">
        <v>30</v>
      </c>
      <c r="F51" s="51"/>
      <c r="G51" s="51"/>
      <c r="H51" s="117"/>
      <c r="I51" s="117"/>
      <c r="J51" s="23"/>
      <c r="K51" s="23"/>
      <c r="T51" s="4"/>
    </row>
    <row r="52" spans="1:20" s="3" customFormat="1" x14ac:dyDescent="0.3">
      <c r="A52" s="52"/>
      <c r="B52" s="52"/>
      <c r="C52" s="53"/>
      <c r="D52" s="52"/>
      <c r="E52" s="51" t="s">
        <v>31</v>
      </c>
      <c r="F52" s="51"/>
      <c r="G52" s="51"/>
      <c r="H52" s="117"/>
      <c r="I52" s="117"/>
      <c r="J52" s="23"/>
      <c r="K52" s="23"/>
      <c r="T52" s="4"/>
    </row>
    <row r="53" spans="1:20" s="3" customFormat="1" x14ac:dyDescent="0.3">
      <c r="A53" s="52"/>
      <c r="B53" s="118"/>
      <c r="C53" s="118"/>
      <c r="D53" s="52"/>
      <c r="E53" s="52"/>
      <c r="F53" s="119"/>
      <c r="G53" s="117"/>
      <c r="H53" s="117"/>
      <c r="I53" s="117"/>
      <c r="J53" s="23"/>
      <c r="K53" s="23"/>
      <c r="T53" s="4"/>
    </row>
    <row r="54" spans="1:20" x14ac:dyDescent="0.3">
      <c r="A54" s="118"/>
      <c r="B54" s="118"/>
      <c r="C54" s="118"/>
      <c r="D54" s="118"/>
      <c r="E54" s="118"/>
      <c r="F54" s="118"/>
      <c r="G54" s="118"/>
      <c r="H54" s="118"/>
      <c r="I54" s="118"/>
    </row>
    <row r="55" spans="1:20" x14ac:dyDescent="0.3">
      <c r="B55" s="118"/>
      <c r="C55" s="118"/>
    </row>
  </sheetData>
  <mergeCells count="68">
    <mergeCell ref="A8:I9"/>
    <mergeCell ref="A1:B6"/>
    <mergeCell ref="C1:D2"/>
    <mergeCell ref="E1:F1"/>
    <mergeCell ref="G1:H1"/>
    <mergeCell ref="I1:I6"/>
    <mergeCell ref="E2:F3"/>
    <mergeCell ref="G2:H3"/>
    <mergeCell ref="C3:D3"/>
    <mergeCell ref="C4:D4"/>
    <mergeCell ref="E4:F4"/>
    <mergeCell ref="G4:H4"/>
    <mergeCell ref="C5:D6"/>
    <mergeCell ref="E5:F6"/>
    <mergeCell ref="G5:H5"/>
    <mergeCell ref="G6:H6"/>
    <mergeCell ref="A12:I12"/>
    <mergeCell ref="A15:B15"/>
    <mergeCell ref="C15:H16"/>
    <mergeCell ref="A16:B16"/>
    <mergeCell ref="A17:C17"/>
    <mergeCell ref="G17:H17"/>
    <mergeCell ref="A21:B21"/>
    <mergeCell ref="G21:H21"/>
    <mergeCell ref="A22:B22"/>
    <mergeCell ref="G22:H22"/>
    <mergeCell ref="A18:B18"/>
    <mergeCell ref="G18:H18"/>
    <mergeCell ref="A19:B19"/>
    <mergeCell ref="G19:H19"/>
    <mergeCell ref="A20:B20"/>
    <mergeCell ref="G20:H20"/>
    <mergeCell ref="A31:B31"/>
    <mergeCell ref="G31:H31"/>
    <mergeCell ref="A28:B28"/>
    <mergeCell ref="G28:H28"/>
    <mergeCell ref="A29:B29"/>
    <mergeCell ref="G29:H29"/>
    <mergeCell ref="A30:B30"/>
    <mergeCell ref="G30:H30"/>
    <mergeCell ref="A23:H23"/>
    <mergeCell ref="A25:B25"/>
    <mergeCell ref="C25:H26"/>
    <mergeCell ref="A26:B26"/>
    <mergeCell ref="A27:C27"/>
    <mergeCell ref="G27:H27"/>
    <mergeCell ref="A40:B40"/>
    <mergeCell ref="G40:H40"/>
    <mergeCell ref="A41:B41"/>
    <mergeCell ref="G41:H41"/>
    <mergeCell ref="A36:C36"/>
    <mergeCell ref="G36:H36"/>
    <mergeCell ref="A37:B37"/>
    <mergeCell ref="G37:H37"/>
    <mergeCell ref="A38:B38"/>
    <mergeCell ref="G38:H38"/>
    <mergeCell ref="A32:H32"/>
    <mergeCell ref="A34:B34"/>
    <mergeCell ref="C34:H35"/>
    <mergeCell ref="A35:B35"/>
    <mergeCell ref="A39:B39"/>
    <mergeCell ref="G39:H39"/>
    <mergeCell ref="E49:H49"/>
    <mergeCell ref="A44:H44"/>
    <mergeCell ref="A42:B42"/>
    <mergeCell ref="G42:H42"/>
    <mergeCell ref="A43:B43"/>
    <mergeCell ref="G43:H43"/>
  </mergeCells>
  <pageMargins left="0.7" right="0.7" top="1" bottom="0.75" header="0.3" footer="0.3"/>
  <pageSetup scale="65" fitToHeight="0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D3E40-0BA5-4E1C-ADA9-24DFDBFC2592}">
  <sheetPr>
    <pageSetUpPr fitToPage="1"/>
  </sheetPr>
  <dimension ref="A1:X35"/>
  <sheetViews>
    <sheetView view="pageBreakPreview" zoomScale="90" zoomScaleNormal="80" zoomScaleSheetLayoutView="90" workbookViewId="0">
      <selection activeCell="B19" sqref="B19:C19"/>
    </sheetView>
  </sheetViews>
  <sheetFormatPr baseColWidth="10" defaultColWidth="11.44140625" defaultRowHeight="14.4" x14ac:dyDescent="0.3"/>
  <cols>
    <col min="1" max="1" width="7.33203125" style="3" customWidth="1"/>
    <col min="2" max="2" width="15.6640625" style="3" customWidth="1"/>
    <col min="3" max="3" width="38.109375" style="3" customWidth="1"/>
    <col min="4" max="4" width="7" style="3" customWidth="1"/>
    <col min="5" max="5" width="9" style="3" customWidth="1"/>
    <col min="6" max="6" width="13.6640625" style="3" customWidth="1"/>
    <col min="7" max="7" width="14.33203125" style="3" bestFit="1" customWidth="1"/>
    <col min="8" max="8" width="7.44140625" style="3" customWidth="1"/>
    <col min="9" max="11" width="13.88671875" style="3" bestFit="1" customWidth="1"/>
    <col min="12" max="12" width="13.5546875" style="3" bestFit="1" customWidth="1"/>
    <col min="13" max="15" width="13.88671875" style="3" bestFit="1" customWidth="1"/>
    <col min="16" max="16" width="13.5546875" style="3" bestFit="1" customWidth="1"/>
    <col min="17" max="17" width="15.109375" style="3" bestFit="1" customWidth="1"/>
    <col min="18" max="18" width="13.44140625" style="3" bestFit="1" customWidth="1"/>
    <col min="19" max="16384" width="11.44140625" style="3"/>
  </cols>
  <sheetData>
    <row r="1" spans="1:17" ht="15.05" customHeight="1" x14ac:dyDescent="0.3">
      <c r="A1" s="443"/>
      <c r="B1" s="446"/>
      <c r="C1" s="462" t="s">
        <v>3</v>
      </c>
      <c r="D1" s="462"/>
      <c r="E1" s="462"/>
      <c r="F1" s="462"/>
      <c r="G1" s="462"/>
      <c r="H1" s="462"/>
      <c r="I1" s="414" t="s">
        <v>4</v>
      </c>
      <c r="J1" s="414"/>
      <c r="K1" s="414"/>
      <c r="L1" s="414">
        <v>103</v>
      </c>
      <c r="M1" s="414"/>
      <c r="N1" s="414"/>
      <c r="O1" s="446"/>
      <c r="P1" s="448"/>
    </row>
    <row r="2" spans="1:17" ht="15.05" customHeight="1" x14ac:dyDescent="0.3">
      <c r="A2" s="444"/>
      <c r="B2" s="303"/>
      <c r="C2" s="463"/>
      <c r="D2" s="463"/>
      <c r="E2" s="463"/>
      <c r="F2" s="463"/>
      <c r="G2" s="463"/>
      <c r="H2" s="463"/>
      <c r="I2" s="317" t="s">
        <v>5</v>
      </c>
      <c r="J2" s="317"/>
      <c r="K2" s="317"/>
      <c r="L2" s="420">
        <v>51</v>
      </c>
      <c r="M2" s="420"/>
      <c r="N2" s="420"/>
      <c r="O2" s="303"/>
      <c r="P2" s="449"/>
    </row>
    <row r="3" spans="1:17" ht="15.05" customHeight="1" x14ac:dyDescent="0.3">
      <c r="A3" s="444"/>
      <c r="B3" s="303"/>
      <c r="C3" s="429" t="s">
        <v>6</v>
      </c>
      <c r="D3" s="429"/>
      <c r="E3" s="429"/>
      <c r="F3" s="429"/>
      <c r="G3" s="429"/>
      <c r="H3" s="429"/>
      <c r="I3" s="317"/>
      <c r="J3" s="317"/>
      <c r="K3" s="317"/>
      <c r="L3" s="420"/>
      <c r="M3" s="420"/>
      <c r="N3" s="420"/>
      <c r="O3" s="303"/>
      <c r="P3" s="449"/>
    </row>
    <row r="4" spans="1:17" ht="15.05" customHeight="1" x14ac:dyDescent="0.3">
      <c r="A4" s="444"/>
      <c r="B4" s="303"/>
      <c r="C4" s="464" t="s">
        <v>7</v>
      </c>
      <c r="D4" s="464"/>
      <c r="E4" s="464"/>
      <c r="F4" s="464"/>
      <c r="G4" s="464"/>
      <c r="H4" s="464"/>
      <c r="I4" s="317" t="s">
        <v>8</v>
      </c>
      <c r="J4" s="317"/>
      <c r="K4" s="317"/>
      <c r="L4" s="420">
        <v>1</v>
      </c>
      <c r="M4" s="420"/>
      <c r="N4" s="420"/>
      <c r="O4" s="303"/>
      <c r="P4" s="449"/>
    </row>
    <row r="5" spans="1:17" ht="16.55" customHeight="1" x14ac:dyDescent="0.3">
      <c r="A5" s="444"/>
      <c r="B5" s="303"/>
      <c r="C5" s="317" t="s">
        <v>9</v>
      </c>
      <c r="D5" s="317"/>
      <c r="E5" s="317"/>
      <c r="F5" s="317"/>
      <c r="G5" s="317"/>
      <c r="H5" s="317"/>
      <c r="I5" s="317" t="s">
        <v>10</v>
      </c>
      <c r="J5" s="317"/>
      <c r="K5" s="317"/>
      <c r="L5" s="429" t="s">
        <v>11</v>
      </c>
      <c r="M5" s="429"/>
      <c r="N5" s="429"/>
      <c r="O5" s="303"/>
      <c r="P5" s="449"/>
    </row>
    <row r="6" spans="1:17" ht="15.75" customHeight="1" thickBot="1" x14ac:dyDescent="0.35">
      <c r="A6" s="445"/>
      <c r="B6" s="447"/>
      <c r="C6" s="431"/>
      <c r="D6" s="431"/>
      <c r="E6" s="431"/>
      <c r="F6" s="431"/>
      <c r="G6" s="431"/>
      <c r="H6" s="431"/>
      <c r="I6" s="431"/>
      <c r="J6" s="431"/>
      <c r="K6" s="431"/>
      <c r="L6" s="430">
        <v>44216</v>
      </c>
      <c r="M6" s="430"/>
      <c r="N6" s="430"/>
      <c r="O6" s="447"/>
      <c r="P6" s="450"/>
    </row>
    <row r="7" spans="1:17" ht="15.05" thickBot="1" x14ac:dyDescent="0.35">
      <c r="A7" s="161"/>
      <c r="B7" s="123"/>
      <c r="C7" s="123"/>
      <c r="D7" s="123"/>
      <c r="E7" s="123"/>
      <c r="F7" s="123"/>
      <c r="G7" s="123"/>
      <c r="H7" s="123"/>
      <c r="I7" s="123"/>
      <c r="M7" s="123"/>
    </row>
    <row r="8" spans="1:17" ht="9.5" customHeight="1" x14ac:dyDescent="0.3">
      <c r="A8" s="451" t="str">
        <f>PRESUPUESTO!A8</f>
        <v>MEJORAMIENTO DEL SISTEMA DE TRATAMIENTO DE AGUAS RESIDUALES EN LA INSTITUCION EDUCATIVA RURAL SAN CARLOS, SEDE PRINCIPAL, EN EL MUNICIPIO DE SAN MIGUEL PUTUMAYO.</v>
      </c>
      <c r="B8" s="452"/>
      <c r="C8" s="452"/>
      <c r="D8" s="452"/>
      <c r="E8" s="452"/>
      <c r="F8" s="452"/>
      <c r="G8" s="452"/>
      <c r="H8" s="452"/>
      <c r="I8" s="452"/>
      <c r="J8" s="452"/>
      <c r="K8" s="452"/>
      <c r="L8" s="452"/>
      <c r="M8" s="452"/>
      <c r="N8" s="452"/>
      <c r="O8" s="452"/>
      <c r="P8" s="453"/>
    </row>
    <row r="9" spans="1:17" ht="7.2" customHeight="1" thickBot="1" x14ac:dyDescent="0.35">
      <c r="A9" s="454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6"/>
    </row>
    <row r="10" spans="1:17" ht="15.05" thickBot="1" x14ac:dyDescent="0.35"/>
    <row r="11" spans="1:17" ht="15.05" thickBot="1" x14ac:dyDescent="0.35">
      <c r="A11" s="457" t="s">
        <v>103</v>
      </c>
      <c r="B11" s="458"/>
      <c r="C11" s="458"/>
      <c r="D11" s="458"/>
      <c r="E11" s="458"/>
      <c r="F11" s="458"/>
      <c r="G11" s="458"/>
      <c r="H11" s="458"/>
      <c r="I11" s="458"/>
      <c r="J11" s="458"/>
      <c r="K11" s="458"/>
      <c r="L11" s="458"/>
      <c r="M11" s="458"/>
      <c r="N11" s="458"/>
      <c r="O11" s="458"/>
      <c r="P11" s="459"/>
    </row>
    <row r="12" spans="1:17" ht="15.05" thickBot="1" x14ac:dyDescent="0.35">
      <c r="A12" s="124"/>
      <c r="B12" s="125"/>
      <c r="C12" s="125"/>
      <c r="D12" s="125"/>
      <c r="E12" s="125"/>
      <c r="F12" s="125"/>
      <c r="G12" s="125"/>
      <c r="H12" s="125"/>
      <c r="I12" s="440" t="s">
        <v>104</v>
      </c>
      <c r="J12" s="441"/>
      <c r="K12" s="441"/>
      <c r="L12" s="442"/>
      <c r="M12" s="440" t="s">
        <v>117</v>
      </c>
      <c r="N12" s="441"/>
      <c r="O12" s="441"/>
      <c r="P12" s="442"/>
    </row>
    <row r="13" spans="1:17" x14ac:dyDescent="0.3">
      <c r="A13" s="126"/>
      <c r="B13" s="460"/>
      <c r="C13" s="460"/>
      <c r="D13" s="126"/>
      <c r="E13" s="126"/>
      <c r="F13" s="126"/>
      <c r="G13" s="126"/>
      <c r="H13" s="127"/>
      <c r="I13" s="128" t="s">
        <v>105</v>
      </c>
      <c r="J13" s="129" t="s">
        <v>106</v>
      </c>
      <c r="K13" s="129" t="s">
        <v>107</v>
      </c>
      <c r="L13" s="130" t="s">
        <v>108</v>
      </c>
      <c r="M13" s="129" t="s">
        <v>201</v>
      </c>
      <c r="N13" s="130" t="s">
        <v>202</v>
      </c>
      <c r="O13" s="129" t="s">
        <v>203</v>
      </c>
      <c r="P13" s="130" t="s">
        <v>204</v>
      </c>
    </row>
    <row r="14" spans="1:17" x14ac:dyDescent="0.3">
      <c r="A14" s="131" t="s">
        <v>13</v>
      </c>
      <c r="B14" s="461" t="s">
        <v>109</v>
      </c>
      <c r="C14" s="461"/>
      <c r="D14" s="131" t="s">
        <v>15</v>
      </c>
      <c r="E14" s="131" t="s">
        <v>16</v>
      </c>
      <c r="F14" s="131" t="s">
        <v>110</v>
      </c>
      <c r="G14" s="131" t="s">
        <v>111</v>
      </c>
      <c r="H14" s="132" t="s">
        <v>64</v>
      </c>
      <c r="I14" s="127"/>
      <c r="J14" s="127"/>
      <c r="K14" s="127"/>
      <c r="L14" s="127"/>
      <c r="M14" s="127"/>
      <c r="N14" s="127"/>
      <c r="O14" s="127"/>
      <c r="P14" s="127"/>
    </row>
    <row r="15" spans="1:17" ht="16.7" customHeight="1" x14ac:dyDescent="0.3">
      <c r="A15" s="24">
        <v>1</v>
      </c>
      <c r="B15" s="299" t="str">
        <f>PRESUPUESTO!B15</f>
        <v>PRELIMINARES</v>
      </c>
      <c r="C15" s="300"/>
      <c r="D15" s="300"/>
      <c r="E15" s="300"/>
      <c r="F15" s="300"/>
      <c r="G15" s="301"/>
      <c r="H15" s="133"/>
      <c r="I15" s="134"/>
      <c r="J15" s="134"/>
      <c r="K15" s="134"/>
      <c r="L15" s="135"/>
      <c r="M15" s="134"/>
      <c r="N15" s="134"/>
      <c r="O15" s="134"/>
      <c r="P15" s="135"/>
    </row>
    <row r="16" spans="1:17" ht="15.75" customHeight="1" x14ac:dyDescent="0.3">
      <c r="A16" s="18">
        <v>1.1000000000000001</v>
      </c>
      <c r="B16" s="302" t="str">
        <f>VLOOKUP(A16,PRESUPUESTO!$A$14:$G$21,2,)</f>
        <v>Excavacion a maquina en material comun H=1.5 - 2.5m</v>
      </c>
      <c r="C16" s="302"/>
      <c r="D16" s="27" t="str">
        <f>VLOOKUP(A16,PRESUPUESTO!$A$14:$G$21,4,)</f>
        <v>M3</v>
      </c>
      <c r="E16" s="28">
        <f>VLOOKUP(A16,PRESUPUESTO!$A$14:$G$21,5,)</f>
        <v>27.5</v>
      </c>
      <c r="F16" s="29">
        <f>VLOOKUP(A16,PRESUPUESTO!$A$14:$G$21,6,)</f>
        <v>37383.339999999997</v>
      </c>
      <c r="G16" s="30">
        <f t="shared" ref="G16:G17" si="0">+ROUND(E16*F16,2)</f>
        <v>1028041.85</v>
      </c>
      <c r="H16" s="136">
        <f>G16/$G$21</f>
        <v>2.7682890059870253E-2</v>
      </c>
      <c r="I16" s="281">
        <f>$G$16/2</f>
        <v>514020.92499999999</v>
      </c>
      <c r="J16" s="281">
        <f>$G$16/2</f>
        <v>514020.92499999999</v>
      </c>
      <c r="K16" s="137"/>
      <c r="L16" s="138"/>
      <c r="M16" s="138"/>
      <c r="N16" s="137"/>
      <c r="O16" s="137"/>
      <c r="P16" s="138"/>
      <c r="Q16" s="139"/>
    </row>
    <row r="17" spans="1:17" ht="28.15" customHeight="1" x14ac:dyDescent="0.3">
      <c r="A17" s="18">
        <v>1.2</v>
      </c>
      <c r="B17" s="302" t="str">
        <f>VLOOKUP(A17,PRESUPUESTO!$A$14:$G$21,2,)</f>
        <v>Excavacion manual para zanjas de redes sanitarias</v>
      </c>
      <c r="C17" s="302"/>
      <c r="D17" s="27" t="str">
        <f>VLOOKUP(A17,PRESUPUESTO!$A$14:$G$21,4,)</f>
        <v>M3</v>
      </c>
      <c r="E17" s="28">
        <f>VLOOKUP(A17,PRESUPUESTO!$A$14:$G$21,5,)</f>
        <v>35</v>
      </c>
      <c r="F17" s="29">
        <f>VLOOKUP(A17,PRESUPUESTO!$A$14:$G$21,6,)</f>
        <v>45500</v>
      </c>
      <c r="G17" s="30">
        <f t="shared" si="0"/>
        <v>1592500</v>
      </c>
      <c r="H17" s="136">
        <f>G17/$G$21</f>
        <v>4.2882497848062681E-2</v>
      </c>
      <c r="I17" s="140"/>
      <c r="J17" s="140"/>
      <c r="K17" s="140"/>
      <c r="L17" s="138"/>
      <c r="M17" s="138"/>
      <c r="N17" s="138"/>
      <c r="O17" s="281">
        <f>$G$17/2</f>
        <v>796250</v>
      </c>
      <c r="P17" s="281">
        <f>$G$17/2</f>
        <v>796250</v>
      </c>
      <c r="Q17" s="139"/>
    </row>
    <row r="18" spans="1:17" ht="15.05" x14ac:dyDescent="0.3">
      <c r="A18" s="24">
        <v>2</v>
      </c>
      <c r="B18" s="299" t="str">
        <f>PRESUPUESTO!B19</f>
        <v>POZO SEPTICO</v>
      </c>
      <c r="C18" s="300"/>
      <c r="D18" s="300"/>
      <c r="E18" s="300"/>
      <c r="F18" s="300"/>
      <c r="G18" s="301"/>
      <c r="H18" s="141"/>
      <c r="I18" s="141"/>
      <c r="J18" s="142"/>
      <c r="K18" s="142"/>
      <c r="L18" s="143"/>
      <c r="M18" s="141"/>
      <c r="N18" s="142"/>
      <c r="O18" s="142"/>
      <c r="P18" s="143"/>
      <c r="Q18" s="139"/>
    </row>
    <row r="19" spans="1:17" s="10" customFormat="1" ht="29.45" customHeight="1" x14ac:dyDescent="0.3">
      <c r="A19" s="18">
        <v>2.1</v>
      </c>
      <c r="B19" s="302" t="str">
        <f>VLOOKUP(A19,PRESUPUESTO!$A$14:$G$21,2,)</f>
        <v>Suministro e instalacion pozo septico prefabricado 20.000 lts</v>
      </c>
      <c r="C19" s="302"/>
      <c r="D19" s="27" t="str">
        <f>VLOOKUP(A19,PRESUPUESTO!$A$14:$G$21,4,)</f>
        <v>UND</v>
      </c>
      <c r="E19" s="28">
        <f>VLOOKUP(A19,PRESUPUESTO!$A$14:$G$21,5,)</f>
        <v>1</v>
      </c>
      <c r="F19" s="29">
        <f>VLOOKUP(A19,PRESUPUESTO!$A$14:$G$21,6,)</f>
        <v>34515821</v>
      </c>
      <c r="G19" s="30">
        <f t="shared" ref="G19" si="1">+ROUND(E19*F19,2)</f>
        <v>34515821</v>
      </c>
      <c r="H19" s="136">
        <f>G19/$G$21</f>
        <v>0.92943461209206701</v>
      </c>
      <c r="I19" s="144"/>
      <c r="J19" s="282">
        <f>$G$19/5</f>
        <v>6903164.2000000002</v>
      </c>
      <c r="K19" s="282">
        <f t="shared" ref="K19:N19" si="2">$G$19/5</f>
        <v>6903164.2000000002</v>
      </c>
      <c r="L19" s="282">
        <f t="shared" si="2"/>
        <v>6903164.2000000002</v>
      </c>
      <c r="M19" s="282">
        <f t="shared" si="2"/>
        <v>6903164.2000000002</v>
      </c>
      <c r="N19" s="282">
        <f t="shared" si="2"/>
        <v>6903164.2000000002</v>
      </c>
      <c r="O19" s="145"/>
      <c r="Q19" s="146"/>
    </row>
    <row r="20" spans="1:17" ht="15.75" customHeight="1" x14ac:dyDescent="0.3">
      <c r="A20" s="437"/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438"/>
      <c r="N20" s="438"/>
      <c r="O20" s="438"/>
      <c r="P20" s="439"/>
    </row>
    <row r="21" spans="1:17" ht="14.4" customHeight="1" x14ac:dyDescent="0.3">
      <c r="A21" s="433" t="s">
        <v>112</v>
      </c>
      <c r="B21" s="433"/>
      <c r="C21" s="433"/>
      <c r="D21" s="433"/>
      <c r="E21" s="433"/>
      <c r="F21" s="433"/>
      <c r="G21" s="147">
        <f>SUM(G16:G17,G19:G19)</f>
        <v>37136362.850000001</v>
      </c>
      <c r="H21" s="148">
        <f>SUM(H16:H19)</f>
        <v>1</v>
      </c>
      <c r="I21" s="149">
        <f>SUM(I14:I19)</f>
        <v>514020.92499999999</v>
      </c>
      <c r="J21" s="149">
        <f t="shared" ref="J21:P21" si="3">SUM(J14:J19)</f>
        <v>7417185.125</v>
      </c>
      <c r="K21" s="149">
        <f t="shared" si="3"/>
        <v>6903164.2000000002</v>
      </c>
      <c r="L21" s="149">
        <f t="shared" si="3"/>
        <v>6903164.2000000002</v>
      </c>
      <c r="M21" s="149">
        <f t="shared" si="3"/>
        <v>6903164.2000000002</v>
      </c>
      <c r="N21" s="149">
        <f t="shared" si="3"/>
        <v>6903164.2000000002</v>
      </c>
      <c r="O21" s="149">
        <f t="shared" si="3"/>
        <v>796250</v>
      </c>
      <c r="P21" s="149">
        <f t="shared" si="3"/>
        <v>796250</v>
      </c>
    </row>
    <row r="22" spans="1:17" x14ac:dyDescent="0.3">
      <c r="A22" s="432" t="s">
        <v>113</v>
      </c>
      <c r="B22" s="432"/>
      <c r="C22" s="432"/>
      <c r="D22" s="432"/>
      <c r="E22" s="432"/>
      <c r="F22" s="150">
        <v>0.28000000000000003</v>
      </c>
      <c r="G22" s="151">
        <f>ROUND((F22*G$21),2)</f>
        <v>10398181.6</v>
      </c>
      <c r="H22" s="152">
        <f>G22/G$21</f>
        <v>0.28000000005385556</v>
      </c>
      <c r="I22" s="153">
        <f>$F$22*I$21</f>
        <v>143925.859</v>
      </c>
      <c r="J22" s="153">
        <f t="shared" ref="J22:P22" si="4">$F$22*J$21</f>
        <v>2076811.8350000002</v>
      </c>
      <c r="K22" s="153">
        <f t="shared" si="4"/>
        <v>1932885.9760000003</v>
      </c>
      <c r="L22" s="153">
        <f t="shared" si="4"/>
        <v>1932885.9760000003</v>
      </c>
      <c r="M22" s="153">
        <f t="shared" si="4"/>
        <v>1932885.9760000003</v>
      </c>
      <c r="N22" s="153">
        <f t="shared" si="4"/>
        <v>1932885.9760000003</v>
      </c>
      <c r="O22" s="153">
        <f t="shared" si="4"/>
        <v>222950.00000000003</v>
      </c>
      <c r="P22" s="153">
        <f t="shared" si="4"/>
        <v>222950.00000000003</v>
      </c>
    </row>
    <row r="23" spans="1:17" x14ac:dyDescent="0.3">
      <c r="A23" s="432" t="s">
        <v>22</v>
      </c>
      <c r="B23" s="432"/>
      <c r="C23" s="432"/>
      <c r="D23" s="432"/>
      <c r="E23" s="432"/>
      <c r="F23" s="150">
        <v>0.01</v>
      </c>
      <c r="G23" s="151">
        <f>ROUND((F23*G$21),2)</f>
        <v>371363.63</v>
      </c>
      <c r="H23" s="152">
        <f>G23/G$21</f>
        <v>1.0000000040391678E-2</v>
      </c>
      <c r="I23" s="153">
        <f>$F$23*I$21</f>
        <v>5140.2092499999999</v>
      </c>
      <c r="J23" s="153">
        <f t="shared" ref="J23:P23" si="5">$F$23*J$21</f>
        <v>74171.851250000007</v>
      </c>
      <c r="K23" s="153">
        <f t="shared" si="5"/>
        <v>69031.642000000007</v>
      </c>
      <c r="L23" s="153">
        <f t="shared" si="5"/>
        <v>69031.642000000007</v>
      </c>
      <c r="M23" s="153">
        <f t="shared" si="5"/>
        <v>69031.642000000007</v>
      </c>
      <c r="N23" s="153">
        <f t="shared" si="5"/>
        <v>69031.642000000007</v>
      </c>
      <c r="O23" s="153">
        <f t="shared" si="5"/>
        <v>7962.5</v>
      </c>
      <c r="P23" s="153">
        <f t="shared" si="5"/>
        <v>7962.5</v>
      </c>
    </row>
    <row r="24" spans="1:17" x14ac:dyDescent="0.3">
      <c r="A24" s="432" t="s">
        <v>23</v>
      </c>
      <c r="B24" s="432"/>
      <c r="C24" s="432"/>
      <c r="D24" s="432"/>
      <c r="E24" s="432"/>
      <c r="F24" s="150">
        <v>0.03</v>
      </c>
      <c r="G24" s="151">
        <f>ROUND((F24*G$21),2)</f>
        <v>1114090.8899999999</v>
      </c>
      <c r="H24" s="152">
        <f>G24/G$21</f>
        <v>3.0000000121175031E-2</v>
      </c>
      <c r="I24" s="153">
        <f>$F$24*I$21</f>
        <v>15420.62775</v>
      </c>
      <c r="J24" s="153">
        <f t="shared" ref="J24:P24" si="6">$F$24*J$21</f>
        <v>222515.55374999999</v>
      </c>
      <c r="K24" s="153">
        <f t="shared" si="6"/>
        <v>207094.92600000001</v>
      </c>
      <c r="L24" s="153">
        <f t="shared" si="6"/>
        <v>207094.92600000001</v>
      </c>
      <c r="M24" s="153">
        <f t="shared" si="6"/>
        <v>207094.92600000001</v>
      </c>
      <c r="N24" s="153">
        <f t="shared" si="6"/>
        <v>207094.92600000001</v>
      </c>
      <c r="O24" s="153">
        <f t="shared" si="6"/>
        <v>23887.5</v>
      </c>
      <c r="P24" s="153">
        <f t="shared" si="6"/>
        <v>23887.5</v>
      </c>
    </row>
    <row r="25" spans="1:17" ht="14.4" customHeight="1" x14ac:dyDescent="0.3">
      <c r="A25" s="433" t="s">
        <v>114</v>
      </c>
      <c r="B25" s="433"/>
      <c r="C25" s="433"/>
      <c r="D25" s="433"/>
      <c r="E25" s="433"/>
      <c r="F25" s="433"/>
      <c r="G25" s="154">
        <f>SUM(G22:G24)</f>
        <v>11883636.120000001</v>
      </c>
      <c r="H25" s="155">
        <f>SUM(H22:H24)</f>
        <v>0.3200000002154223</v>
      </c>
      <c r="I25" s="153">
        <f>SUM(I22:I24)</f>
        <v>164486.696</v>
      </c>
      <c r="J25" s="153">
        <f t="shared" ref="J25:K25" si="7">SUM(J22:J24)</f>
        <v>2373499.2400000002</v>
      </c>
      <c r="K25" s="153">
        <f t="shared" si="7"/>
        <v>2209012.5440000002</v>
      </c>
      <c r="L25" s="153">
        <f>SUM(L22:L24)</f>
        <v>2209012.5440000002</v>
      </c>
      <c r="M25" s="153">
        <f>SUM(M22:M24)</f>
        <v>2209012.5440000002</v>
      </c>
      <c r="N25" s="153">
        <f t="shared" ref="N25:O25" si="8">SUM(N22:N24)</f>
        <v>2209012.5440000002</v>
      </c>
      <c r="O25" s="153">
        <f t="shared" si="8"/>
        <v>254800.00000000003</v>
      </c>
      <c r="P25" s="153">
        <f>SUM(P22:P24)</f>
        <v>254800.00000000003</v>
      </c>
    </row>
    <row r="26" spans="1:17" ht="15.05" customHeight="1" x14ac:dyDescent="0.3">
      <c r="A26" s="433" t="s">
        <v>25</v>
      </c>
      <c r="B26" s="433"/>
      <c r="C26" s="433"/>
      <c r="D26" s="433"/>
      <c r="E26" s="433"/>
      <c r="F26" s="433"/>
      <c r="G26" s="154">
        <f>G25+G21</f>
        <v>49019998.969999999</v>
      </c>
      <c r="H26" s="156">
        <f>G25/G21</f>
        <v>0.3200000002154223</v>
      </c>
      <c r="I26" s="149">
        <f>I21+I25</f>
        <v>678507.62100000004</v>
      </c>
      <c r="J26" s="149">
        <f t="shared" ref="J26:K26" si="9">J21+J25</f>
        <v>9790684.3650000002</v>
      </c>
      <c r="K26" s="149">
        <f t="shared" si="9"/>
        <v>9112176.7440000009</v>
      </c>
      <c r="L26" s="149">
        <f>L21+L25</f>
        <v>9112176.7440000009</v>
      </c>
      <c r="M26" s="149">
        <f>M21+M25</f>
        <v>9112176.7440000009</v>
      </c>
      <c r="N26" s="149">
        <f t="shared" ref="N26:O26" si="10">N21+N25</f>
        <v>9112176.7440000009</v>
      </c>
      <c r="O26" s="149">
        <f t="shared" si="10"/>
        <v>1051050</v>
      </c>
      <c r="P26" s="149">
        <f>P21+P25</f>
        <v>1051050</v>
      </c>
    </row>
    <row r="27" spans="1:17" x14ac:dyDescent="0.3">
      <c r="A27" s="434" t="s">
        <v>115</v>
      </c>
      <c r="B27" s="435"/>
      <c r="C27" s="435"/>
      <c r="D27" s="435"/>
      <c r="E27" s="435"/>
      <c r="F27" s="436"/>
      <c r="G27" s="157">
        <f>P27</f>
        <v>49019998.972000003</v>
      </c>
      <c r="H27" s="158"/>
      <c r="I27" s="157">
        <f>I26</f>
        <v>678507.62100000004</v>
      </c>
      <c r="J27" s="157">
        <f>I27+J26</f>
        <v>10469191.986</v>
      </c>
      <c r="K27" s="157">
        <f t="shared" ref="K27:O27" si="11">J27+K26</f>
        <v>19581368.73</v>
      </c>
      <c r="L27" s="157">
        <f t="shared" si="11"/>
        <v>28693545.473999999</v>
      </c>
      <c r="M27" s="157">
        <f t="shared" si="11"/>
        <v>37805722.218000002</v>
      </c>
      <c r="N27" s="157">
        <f t="shared" si="11"/>
        <v>46917898.962000005</v>
      </c>
      <c r="O27" s="157">
        <f t="shared" si="11"/>
        <v>47968948.962000005</v>
      </c>
      <c r="P27" s="157">
        <f>O27+P26+0.01</f>
        <v>49019998.972000003</v>
      </c>
    </row>
    <row r="28" spans="1:17" x14ac:dyDescent="0.3">
      <c r="A28" s="159"/>
      <c r="B28" s="159"/>
      <c r="C28" s="159"/>
      <c r="D28" s="159"/>
      <c r="E28" s="159"/>
      <c r="F28" s="159"/>
      <c r="G28" s="159"/>
      <c r="H28" s="159"/>
    </row>
    <row r="29" spans="1:17" x14ac:dyDescent="0.3">
      <c r="A29" s="159"/>
      <c r="B29" s="159"/>
      <c r="C29" s="159"/>
      <c r="D29" s="159"/>
      <c r="E29" s="159"/>
      <c r="F29" s="159"/>
      <c r="G29" s="159"/>
      <c r="H29" s="159"/>
    </row>
    <row r="30" spans="1:17" x14ac:dyDescent="0.3">
      <c r="A30" s="159"/>
      <c r="B30" s="159"/>
      <c r="C30" s="159"/>
      <c r="D30" s="159"/>
      <c r="E30" s="159"/>
      <c r="F30" s="159"/>
      <c r="G30" s="159"/>
      <c r="H30" s="159"/>
    </row>
    <row r="31" spans="1:17" x14ac:dyDescent="0.3">
      <c r="A31" s="159"/>
      <c r="B31" s="159"/>
      <c r="C31" s="159"/>
      <c r="D31" s="159"/>
      <c r="E31" s="159"/>
      <c r="F31" s="159"/>
      <c r="G31" s="159"/>
      <c r="H31" s="159"/>
    </row>
    <row r="32" spans="1:17" x14ac:dyDescent="0.3">
      <c r="A32" s="159"/>
      <c r="B32" s="159"/>
      <c r="C32" s="159"/>
      <c r="D32" s="159"/>
      <c r="E32" s="159" t="s">
        <v>116</v>
      </c>
      <c r="F32" s="159"/>
      <c r="G32" s="159"/>
      <c r="H32" s="159"/>
    </row>
    <row r="33" spans="1:24" ht="15.05" x14ac:dyDescent="0.3">
      <c r="B33" s="46" t="s">
        <v>26</v>
      </c>
      <c r="C33" s="46"/>
      <c r="D33" s="46"/>
      <c r="E33" s="50" t="s">
        <v>28</v>
      </c>
      <c r="F33" s="51"/>
      <c r="G33" s="51"/>
      <c r="H33" s="34"/>
      <c r="I33" s="34"/>
      <c r="J33" s="23"/>
      <c r="K33" s="23"/>
      <c r="M33" s="34"/>
      <c r="N33" s="23"/>
      <c r="O33" s="23"/>
      <c r="X33" s="4"/>
    </row>
    <row r="34" spans="1:24" ht="15.05" x14ac:dyDescent="0.3">
      <c r="B34" s="50" t="s">
        <v>27</v>
      </c>
      <c r="C34" s="51"/>
      <c r="D34" s="52"/>
      <c r="E34" s="51" t="s">
        <v>30</v>
      </c>
      <c r="F34" s="51"/>
      <c r="G34" s="51"/>
      <c r="H34" s="34"/>
      <c r="I34" s="34"/>
      <c r="J34" s="23"/>
      <c r="K34" s="23"/>
      <c r="M34" s="34"/>
      <c r="N34" s="23"/>
      <c r="O34" s="23"/>
      <c r="X34" s="4"/>
    </row>
    <row r="35" spans="1:24" ht="15.05" x14ac:dyDescent="0.3">
      <c r="A35" s="52"/>
      <c r="B35" s="51" t="s">
        <v>29</v>
      </c>
      <c r="C35" s="52"/>
      <c r="D35" s="52"/>
      <c r="E35" s="51" t="s">
        <v>31</v>
      </c>
      <c r="F35" s="51"/>
      <c r="G35" s="51"/>
      <c r="H35" s="34"/>
      <c r="I35" s="34"/>
      <c r="J35" s="23"/>
      <c r="K35" s="23"/>
      <c r="M35" s="34"/>
      <c r="N35" s="23"/>
      <c r="O35" s="23"/>
      <c r="X35" s="4"/>
    </row>
  </sheetData>
  <mergeCells count="35">
    <mergeCell ref="B15:G15"/>
    <mergeCell ref="I12:L12"/>
    <mergeCell ref="A1:A6"/>
    <mergeCell ref="B1:B6"/>
    <mergeCell ref="O1:P6"/>
    <mergeCell ref="A8:P9"/>
    <mergeCell ref="A11:P11"/>
    <mergeCell ref="M12:P12"/>
    <mergeCell ref="B13:C13"/>
    <mergeCell ref="B14:C14"/>
    <mergeCell ref="C1:H2"/>
    <mergeCell ref="C3:H3"/>
    <mergeCell ref="C4:H4"/>
    <mergeCell ref="C5:H6"/>
    <mergeCell ref="L2:N3"/>
    <mergeCell ref="L1:N1"/>
    <mergeCell ref="A20:P20"/>
    <mergeCell ref="A21:F21"/>
    <mergeCell ref="A22:E22"/>
    <mergeCell ref="B16:C16"/>
    <mergeCell ref="B17:C17"/>
    <mergeCell ref="B18:G18"/>
    <mergeCell ref="B19:C19"/>
    <mergeCell ref="A23:E23"/>
    <mergeCell ref="A24:E24"/>
    <mergeCell ref="A25:F25"/>
    <mergeCell ref="A26:F26"/>
    <mergeCell ref="A27:F27"/>
    <mergeCell ref="L6:N6"/>
    <mergeCell ref="L5:N5"/>
    <mergeCell ref="L4:N4"/>
    <mergeCell ref="I1:K1"/>
    <mergeCell ref="I2:K3"/>
    <mergeCell ref="I4:K4"/>
    <mergeCell ref="I5:K6"/>
  </mergeCells>
  <phoneticPr fontId="21" type="noConversion"/>
  <pageMargins left="1.45" right="0.7" top="0.75" bottom="0.75" header="0.3" footer="0.3"/>
  <pageSetup scale="50" fitToHeight="0" orientation="landscape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EB394-A133-4DBF-B4B0-091572E4418F}">
  <sheetPr>
    <pageSetUpPr fitToPage="1"/>
  </sheetPr>
  <dimension ref="A1:X35"/>
  <sheetViews>
    <sheetView view="pageBreakPreview" zoomScale="90" zoomScaleNormal="80" zoomScaleSheetLayoutView="90" workbookViewId="0">
      <selection activeCell="K24" sqref="K24"/>
    </sheetView>
  </sheetViews>
  <sheetFormatPr baseColWidth="10" defaultColWidth="11.44140625" defaultRowHeight="14.4" x14ac:dyDescent="0.3"/>
  <cols>
    <col min="1" max="1" width="7.33203125" style="3" customWidth="1"/>
    <col min="2" max="2" width="15.6640625" style="3" customWidth="1"/>
    <col min="3" max="3" width="38.109375" style="3" customWidth="1"/>
    <col min="4" max="4" width="7" style="3" customWidth="1"/>
    <col min="5" max="5" width="9" style="3" customWidth="1"/>
    <col min="6" max="6" width="13" style="3" customWidth="1"/>
    <col min="7" max="7" width="14.33203125" style="3" bestFit="1" customWidth="1"/>
    <col min="8" max="8" width="7.44140625" style="3" customWidth="1"/>
    <col min="9" max="11" width="13.88671875" style="3" bestFit="1" customWidth="1"/>
    <col min="12" max="12" width="13.5546875" style="3" bestFit="1" customWidth="1"/>
    <col min="13" max="15" width="13.88671875" style="3" bestFit="1" customWidth="1"/>
    <col min="16" max="16" width="13.5546875" style="3" bestFit="1" customWidth="1"/>
    <col min="17" max="17" width="15.109375" style="3" bestFit="1" customWidth="1"/>
    <col min="18" max="18" width="13.44140625" style="3" bestFit="1" customWidth="1"/>
    <col min="19" max="16384" width="11.44140625" style="3"/>
  </cols>
  <sheetData>
    <row r="1" spans="1:17" ht="15.05" customHeight="1" x14ac:dyDescent="0.3">
      <c r="A1" s="443"/>
      <c r="B1" s="446"/>
      <c r="C1" s="462" t="s">
        <v>3</v>
      </c>
      <c r="D1" s="462"/>
      <c r="E1" s="462"/>
      <c r="F1" s="462"/>
      <c r="G1" s="462"/>
      <c r="H1" s="462"/>
      <c r="I1" s="414" t="s">
        <v>4</v>
      </c>
      <c r="J1" s="414"/>
      <c r="K1" s="414"/>
      <c r="L1" s="414">
        <v>103</v>
      </c>
      <c r="M1" s="414"/>
      <c r="N1" s="414"/>
      <c r="O1" s="446"/>
      <c r="P1" s="448"/>
    </row>
    <row r="2" spans="1:17" ht="15.05" customHeight="1" x14ac:dyDescent="0.3">
      <c r="A2" s="444"/>
      <c r="B2" s="303"/>
      <c r="C2" s="463"/>
      <c r="D2" s="463"/>
      <c r="E2" s="463"/>
      <c r="F2" s="463"/>
      <c r="G2" s="463"/>
      <c r="H2" s="463"/>
      <c r="I2" s="317" t="s">
        <v>5</v>
      </c>
      <c r="J2" s="317"/>
      <c r="K2" s="317"/>
      <c r="L2" s="420">
        <v>51</v>
      </c>
      <c r="M2" s="420"/>
      <c r="N2" s="420"/>
      <c r="O2" s="303"/>
      <c r="P2" s="449"/>
    </row>
    <row r="3" spans="1:17" ht="15.05" customHeight="1" x14ac:dyDescent="0.3">
      <c r="A3" s="444"/>
      <c r="B3" s="303"/>
      <c r="C3" s="429" t="s">
        <v>6</v>
      </c>
      <c r="D3" s="429"/>
      <c r="E3" s="429"/>
      <c r="F3" s="429"/>
      <c r="G3" s="429"/>
      <c r="H3" s="429"/>
      <c r="I3" s="317"/>
      <c r="J3" s="317"/>
      <c r="K3" s="317"/>
      <c r="L3" s="420"/>
      <c r="M3" s="420"/>
      <c r="N3" s="420"/>
      <c r="O3" s="303"/>
      <c r="P3" s="449"/>
    </row>
    <row r="4" spans="1:17" ht="15.05" customHeight="1" x14ac:dyDescent="0.3">
      <c r="A4" s="444"/>
      <c r="B4" s="303"/>
      <c r="C4" s="464" t="s">
        <v>7</v>
      </c>
      <c r="D4" s="464"/>
      <c r="E4" s="464"/>
      <c r="F4" s="464"/>
      <c r="G4" s="464"/>
      <c r="H4" s="464"/>
      <c r="I4" s="317" t="s">
        <v>8</v>
      </c>
      <c r="J4" s="317"/>
      <c r="K4" s="317"/>
      <c r="L4" s="420">
        <v>1</v>
      </c>
      <c r="M4" s="420"/>
      <c r="N4" s="420"/>
      <c r="O4" s="303"/>
      <c r="P4" s="449"/>
    </row>
    <row r="5" spans="1:17" ht="16.55" customHeight="1" x14ac:dyDescent="0.3">
      <c r="A5" s="444"/>
      <c r="B5" s="303"/>
      <c r="C5" s="317" t="s">
        <v>9</v>
      </c>
      <c r="D5" s="317"/>
      <c r="E5" s="317"/>
      <c r="F5" s="317"/>
      <c r="G5" s="317"/>
      <c r="H5" s="317"/>
      <c r="I5" s="317" t="s">
        <v>10</v>
      </c>
      <c r="J5" s="317"/>
      <c r="K5" s="317"/>
      <c r="L5" s="429" t="s">
        <v>11</v>
      </c>
      <c r="M5" s="429"/>
      <c r="N5" s="429"/>
      <c r="O5" s="303"/>
      <c r="P5" s="449"/>
    </row>
    <row r="6" spans="1:17" ht="15.75" customHeight="1" thickBot="1" x14ac:dyDescent="0.35">
      <c r="A6" s="445"/>
      <c r="B6" s="447"/>
      <c r="C6" s="431"/>
      <c r="D6" s="431"/>
      <c r="E6" s="431"/>
      <c r="F6" s="431"/>
      <c r="G6" s="431"/>
      <c r="H6" s="431"/>
      <c r="I6" s="431"/>
      <c r="J6" s="431"/>
      <c r="K6" s="431"/>
      <c r="L6" s="430">
        <v>44216</v>
      </c>
      <c r="M6" s="430"/>
      <c r="N6" s="430"/>
      <c r="O6" s="447"/>
      <c r="P6" s="450"/>
    </row>
    <row r="7" spans="1:17" ht="15.05" thickBot="1" x14ac:dyDescent="0.35">
      <c r="A7" s="161"/>
      <c r="B7" s="123"/>
      <c r="C7" s="123"/>
      <c r="D7" s="123"/>
      <c r="E7" s="123"/>
      <c r="F7" s="123"/>
      <c r="G7" s="123"/>
      <c r="H7" s="123"/>
      <c r="I7" s="123"/>
      <c r="M7" s="123"/>
    </row>
    <row r="8" spans="1:17" ht="9.5" customHeight="1" x14ac:dyDescent="0.3">
      <c r="A8" s="451" t="str">
        <f>PRESUPUESTO!A8</f>
        <v>MEJORAMIENTO DEL SISTEMA DE TRATAMIENTO DE AGUAS RESIDUALES EN LA INSTITUCION EDUCATIVA RURAL SAN CARLOS, SEDE PRINCIPAL, EN EL MUNICIPIO DE SAN MIGUEL PUTUMAYO.</v>
      </c>
      <c r="B8" s="452"/>
      <c r="C8" s="452"/>
      <c r="D8" s="452"/>
      <c r="E8" s="452"/>
      <c r="F8" s="452"/>
      <c r="G8" s="452"/>
      <c r="H8" s="452"/>
      <c r="I8" s="452"/>
      <c r="J8" s="452"/>
      <c r="K8" s="452"/>
      <c r="L8" s="452"/>
      <c r="M8" s="452"/>
      <c r="N8" s="452"/>
      <c r="O8" s="452"/>
      <c r="P8" s="453"/>
    </row>
    <row r="9" spans="1:17" ht="7.2" customHeight="1" thickBot="1" x14ac:dyDescent="0.35">
      <c r="A9" s="454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6"/>
    </row>
    <row r="10" spans="1:17" ht="15.05" thickBot="1" x14ac:dyDescent="0.35"/>
    <row r="11" spans="1:17" ht="15.05" thickBot="1" x14ac:dyDescent="0.35">
      <c r="A11" s="457" t="s">
        <v>118</v>
      </c>
      <c r="B11" s="458"/>
      <c r="C11" s="458"/>
      <c r="D11" s="458"/>
      <c r="E11" s="458"/>
      <c r="F11" s="458"/>
      <c r="G11" s="458"/>
      <c r="H11" s="458"/>
      <c r="I11" s="458"/>
      <c r="J11" s="458"/>
      <c r="K11" s="458"/>
      <c r="L11" s="458"/>
      <c r="M11" s="458"/>
      <c r="N11" s="458"/>
      <c r="O11" s="458"/>
      <c r="P11" s="459"/>
    </row>
    <row r="12" spans="1:17" ht="15.05" thickBot="1" x14ac:dyDescent="0.35">
      <c r="A12" s="474"/>
      <c r="B12" s="475"/>
      <c r="C12" s="475"/>
      <c r="D12" s="475"/>
      <c r="E12" s="475"/>
      <c r="F12" s="475"/>
      <c r="G12" s="475"/>
      <c r="H12" s="475"/>
      <c r="I12" s="440" t="s">
        <v>104</v>
      </c>
      <c r="J12" s="441"/>
      <c r="K12" s="441"/>
      <c r="L12" s="442"/>
      <c r="M12" s="440" t="s">
        <v>117</v>
      </c>
      <c r="N12" s="441"/>
      <c r="O12" s="441"/>
      <c r="P12" s="442"/>
    </row>
    <row r="13" spans="1:17" x14ac:dyDescent="0.3">
      <c r="A13" s="476"/>
      <c r="B13" s="477"/>
      <c r="C13" s="477"/>
      <c r="D13" s="477"/>
      <c r="E13" s="477"/>
      <c r="F13" s="477"/>
      <c r="G13" s="477"/>
      <c r="H13" s="477"/>
      <c r="I13" s="128" t="s">
        <v>105</v>
      </c>
      <c r="J13" s="129" t="s">
        <v>106</v>
      </c>
      <c r="K13" s="129" t="s">
        <v>107</v>
      </c>
      <c r="L13" s="130" t="s">
        <v>108</v>
      </c>
      <c r="M13" s="129" t="s">
        <v>201</v>
      </c>
      <c r="N13" s="130" t="s">
        <v>202</v>
      </c>
      <c r="O13" s="129" t="s">
        <v>203</v>
      </c>
      <c r="P13" s="130" t="s">
        <v>204</v>
      </c>
    </row>
    <row r="14" spans="1:17" x14ac:dyDescent="0.3">
      <c r="A14" s="162" t="s">
        <v>13</v>
      </c>
      <c r="B14" s="461" t="s">
        <v>109</v>
      </c>
      <c r="C14" s="461"/>
      <c r="D14" s="131" t="s">
        <v>15</v>
      </c>
      <c r="E14" s="131" t="s">
        <v>16</v>
      </c>
      <c r="F14" s="131" t="s">
        <v>110</v>
      </c>
      <c r="G14" s="131" t="s">
        <v>111</v>
      </c>
      <c r="H14" s="132" t="s">
        <v>64</v>
      </c>
      <c r="I14" s="127"/>
      <c r="J14" s="127"/>
      <c r="K14" s="127"/>
      <c r="L14" s="127"/>
      <c r="M14" s="127"/>
      <c r="N14" s="127"/>
      <c r="O14" s="127"/>
      <c r="P14" s="163"/>
    </row>
    <row r="15" spans="1:17" ht="16.7" customHeight="1" x14ac:dyDescent="0.3">
      <c r="A15" s="164">
        <v>1</v>
      </c>
      <c r="B15" s="299" t="str">
        <f>PRESUPUESTO!B15</f>
        <v>PRELIMINARES</v>
      </c>
      <c r="C15" s="300"/>
      <c r="D15" s="300"/>
      <c r="E15" s="300"/>
      <c r="F15" s="300"/>
      <c r="G15" s="301"/>
      <c r="H15" s="133"/>
      <c r="I15" s="134"/>
      <c r="J15" s="134"/>
      <c r="K15" s="134"/>
      <c r="L15" s="135"/>
      <c r="M15" s="134"/>
      <c r="N15" s="134"/>
      <c r="O15" s="134"/>
      <c r="P15" s="165"/>
    </row>
    <row r="16" spans="1:17" ht="15.75" customHeight="1" x14ac:dyDescent="0.3">
      <c r="A16" s="166">
        <v>1.1000000000000001</v>
      </c>
      <c r="B16" s="302" t="str">
        <f>VLOOKUP(A16,PRESUPUESTO!$A$14:$G$21,2,)</f>
        <v>Excavacion a maquina en material comun H=1.5 - 2.5m</v>
      </c>
      <c r="C16" s="302"/>
      <c r="D16" s="27" t="str">
        <f>VLOOKUP(A16,PRESUPUESTO!$A$14:$G$21,4,)</f>
        <v>M3</v>
      </c>
      <c r="E16" s="28">
        <f>VLOOKUP(A16,PRESUPUESTO!$A$14:$G$21,5,)</f>
        <v>27.5</v>
      </c>
      <c r="F16" s="29">
        <f>VLOOKUP(A16,PRESUPUESTO!$A$14:$G$21,6,)</f>
        <v>37383.339999999997</v>
      </c>
      <c r="G16" s="30">
        <f t="shared" ref="G16:G17" si="0">+ROUND(E16*F16,2)</f>
        <v>1028041.85</v>
      </c>
      <c r="H16" s="136">
        <f>G16/$G$21</f>
        <v>2.7682890059870253E-2</v>
      </c>
      <c r="I16" s="283"/>
      <c r="J16" s="283"/>
      <c r="K16" s="137"/>
      <c r="L16" s="138"/>
      <c r="M16" s="138"/>
      <c r="N16" s="137"/>
      <c r="O16" s="137"/>
      <c r="P16" s="167"/>
      <c r="Q16" s="139"/>
    </row>
    <row r="17" spans="1:17" ht="28.15" customHeight="1" x14ac:dyDescent="0.3">
      <c r="A17" s="166">
        <v>1.2</v>
      </c>
      <c r="B17" s="302" t="str">
        <f>VLOOKUP(A17,PRESUPUESTO!$A$14:$G$21,2,)</f>
        <v>Excavacion manual para zanjas de redes sanitarias</v>
      </c>
      <c r="C17" s="302"/>
      <c r="D17" s="27" t="str">
        <f>VLOOKUP(A17,PRESUPUESTO!$A$14:$G$21,4,)</f>
        <v>M3</v>
      </c>
      <c r="E17" s="28">
        <f>VLOOKUP(A17,PRESUPUESTO!$A$14:$G$21,5,)</f>
        <v>35</v>
      </c>
      <c r="F17" s="29">
        <f>VLOOKUP(A17,PRESUPUESTO!$A$14:$G$21,6,)</f>
        <v>45500</v>
      </c>
      <c r="G17" s="30">
        <f t="shared" si="0"/>
        <v>1592500</v>
      </c>
      <c r="H17" s="136">
        <f>G17/$G$21</f>
        <v>4.2882497848062681E-2</v>
      </c>
      <c r="I17" s="140"/>
      <c r="J17" s="140"/>
      <c r="K17" s="140"/>
      <c r="L17" s="138"/>
      <c r="M17" s="138"/>
      <c r="N17" s="138"/>
      <c r="O17" s="283"/>
      <c r="P17" s="285"/>
      <c r="Q17" s="139"/>
    </row>
    <row r="18" spans="1:17" ht="15.05" x14ac:dyDescent="0.3">
      <c r="A18" s="164">
        <v>2</v>
      </c>
      <c r="B18" s="299" t="str">
        <f>PRESUPUESTO!B19</f>
        <v>POZO SEPTICO</v>
      </c>
      <c r="C18" s="300"/>
      <c r="D18" s="300"/>
      <c r="E18" s="300"/>
      <c r="F18" s="300"/>
      <c r="G18" s="301"/>
      <c r="H18" s="141"/>
      <c r="I18" s="141"/>
      <c r="J18" s="142"/>
      <c r="K18" s="142"/>
      <c r="L18" s="143"/>
      <c r="M18" s="141"/>
      <c r="N18" s="142"/>
      <c r="O18" s="142"/>
      <c r="P18" s="168"/>
      <c r="Q18" s="139"/>
    </row>
    <row r="19" spans="1:17" s="10" customFormat="1" ht="29.45" customHeight="1" x14ac:dyDescent="0.3">
      <c r="A19" s="166">
        <v>2.1</v>
      </c>
      <c r="B19" s="302" t="str">
        <f>VLOOKUP(A19,PRESUPUESTO!$A$14:$G$21,2,)</f>
        <v>Suministro e instalacion pozo septico prefabricado 20.000 lts</v>
      </c>
      <c r="C19" s="302"/>
      <c r="D19" s="27" t="str">
        <f>VLOOKUP(A19,PRESUPUESTO!$A$14:$G$21,4,)</f>
        <v>UND</v>
      </c>
      <c r="E19" s="28">
        <f>VLOOKUP(A19,PRESUPUESTO!$A$14:$G$21,5,)</f>
        <v>1</v>
      </c>
      <c r="F19" s="29">
        <f>VLOOKUP(A19,PRESUPUESTO!$A$14:$G$21,6,)</f>
        <v>34515821</v>
      </c>
      <c r="G19" s="30">
        <f t="shared" ref="G19" si="1">+ROUND(E19*F19,2)</f>
        <v>34515821</v>
      </c>
      <c r="H19" s="136">
        <f>G19/$G$21</f>
        <v>0.92943461209206701</v>
      </c>
      <c r="I19" s="144"/>
      <c r="J19" s="284"/>
      <c r="K19" s="284"/>
      <c r="L19" s="284"/>
      <c r="M19" s="284"/>
      <c r="N19" s="284"/>
      <c r="O19" s="145"/>
      <c r="P19" s="169"/>
      <c r="Q19" s="146"/>
    </row>
    <row r="20" spans="1:17" ht="15.75" customHeight="1" thickBot="1" x14ac:dyDescent="0.35">
      <c r="A20" s="468"/>
      <c r="B20" s="469"/>
      <c r="C20" s="469"/>
      <c r="D20" s="469"/>
      <c r="E20" s="469"/>
      <c r="F20" s="469"/>
      <c r="G20" s="469"/>
      <c r="H20" s="469"/>
      <c r="I20" s="469"/>
      <c r="J20" s="469"/>
      <c r="K20" s="469"/>
      <c r="L20" s="469"/>
      <c r="M20" s="469"/>
      <c r="N20" s="469"/>
      <c r="O20" s="469"/>
      <c r="P20" s="470"/>
    </row>
    <row r="21" spans="1:17" ht="14.4" customHeight="1" x14ac:dyDescent="0.3">
      <c r="A21" s="471" t="s">
        <v>112</v>
      </c>
      <c r="B21" s="472"/>
      <c r="C21" s="472"/>
      <c r="D21" s="472"/>
      <c r="E21" s="472"/>
      <c r="F21" s="472"/>
      <c r="G21" s="170">
        <f>SUM(G16:G17,G19:G19)</f>
        <v>37136362.850000001</v>
      </c>
      <c r="H21" s="171">
        <f>SUM(H16:H19)</f>
        <v>1</v>
      </c>
    </row>
    <row r="22" spans="1:17" x14ac:dyDescent="0.3">
      <c r="A22" s="473" t="s">
        <v>113</v>
      </c>
      <c r="B22" s="432"/>
      <c r="C22" s="432"/>
      <c r="D22" s="432"/>
      <c r="E22" s="432"/>
      <c r="F22" s="150">
        <v>0.28000000000000003</v>
      </c>
      <c r="G22" s="151">
        <f>ROUND((F22*G$21),2)</f>
        <v>10398181.6</v>
      </c>
      <c r="H22" s="172">
        <f>G22/G$21</f>
        <v>0.28000000005385556</v>
      </c>
    </row>
    <row r="23" spans="1:17" x14ac:dyDescent="0.3">
      <c r="A23" s="473" t="s">
        <v>22</v>
      </c>
      <c r="B23" s="432"/>
      <c r="C23" s="432"/>
      <c r="D23" s="432"/>
      <c r="E23" s="432"/>
      <c r="F23" s="150">
        <v>0.01</v>
      </c>
      <c r="G23" s="151">
        <f>ROUND((F23*G$21),2)</f>
        <v>371363.63</v>
      </c>
      <c r="H23" s="172">
        <f>G23/G$21</f>
        <v>1.0000000040391678E-2</v>
      </c>
    </row>
    <row r="24" spans="1:17" x14ac:dyDescent="0.3">
      <c r="A24" s="473" t="s">
        <v>23</v>
      </c>
      <c r="B24" s="432"/>
      <c r="C24" s="432"/>
      <c r="D24" s="432"/>
      <c r="E24" s="432"/>
      <c r="F24" s="150">
        <v>0.03</v>
      </c>
      <c r="G24" s="151">
        <f>ROUND((F24*G$21),2)</f>
        <v>1114090.8899999999</v>
      </c>
      <c r="H24" s="172">
        <f>G24/G$21</f>
        <v>3.0000000121175031E-2</v>
      </c>
    </row>
    <row r="25" spans="1:17" ht="14.4" customHeight="1" x14ac:dyDescent="0.3">
      <c r="A25" s="465" t="s">
        <v>114</v>
      </c>
      <c r="B25" s="433"/>
      <c r="C25" s="433"/>
      <c r="D25" s="433"/>
      <c r="E25" s="433"/>
      <c r="F25" s="433"/>
      <c r="G25" s="154">
        <f>SUM(G22:G24)</f>
        <v>11883636.120000001</v>
      </c>
      <c r="H25" s="173">
        <f>SUM(H22:H24)</f>
        <v>0.3200000002154223</v>
      </c>
    </row>
    <row r="26" spans="1:17" ht="15.05" customHeight="1" thickBot="1" x14ac:dyDescent="0.35">
      <c r="A26" s="466" t="s">
        <v>25</v>
      </c>
      <c r="B26" s="467"/>
      <c r="C26" s="467"/>
      <c r="D26" s="467"/>
      <c r="E26" s="467"/>
      <c r="F26" s="467"/>
      <c r="G26" s="174">
        <f>G25+G21</f>
        <v>49019998.969999999</v>
      </c>
      <c r="H26" s="175">
        <f>G25/G21</f>
        <v>0.3200000002154223</v>
      </c>
    </row>
    <row r="27" spans="1:17" x14ac:dyDescent="0.3">
      <c r="A27" s="159"/>
      <c r="B27" s="159"/>
      <c r="C27" s="159"/>
      <c r="D27" s="159"/>
      <c r="E27" s="159"/>
      <c r="F27" s="159"/>
      <c r="G27" s="159"/>
      <c r="H27" s="159"/>
    </row>
    <row r="28" spans="1:17" x14ac:dyDescent="0.3">
      <c r="A28" s="159"/>
      <c r="B28" s="159"/>
      <c r="C28" s="159"/>
      <c r="D28" s="159"/>
      <c r="E28" s="159"/>
      <c r="F28" s="159"/>
      <c r="G28" s="159"/>
      <c r="H28" s="159"/>
    </row>
    <row r="29" spans="1:17" x14ac:dyDescent="0.3">
      <c r="A29" s="159"/>
      <c r="B29" s="159"/>
      <c r="C29" s="159"/>
      <c r="D29" s="159"/>
      <c r="E29" s="159"/>
      <c r="F29" s="159"/>
      <c r="G29" s="159"/>
      <c r="H29" s="159"/>
    </row>
    <row r="30" spans="1:17" x14ac:dyDescent="0.3">
      <c r="A30" s="159"/>
      <c r="B30" s="159"/>
      <c r="C30" s="159"/>
      <c r="D30" s="159"/>
      <c r="E30" s="159"/>
      <c r="F30" s="159"/>
      <c r="G30" s="159"/>
      <c r="H30" s="159"/>
    </row>
    <row r="31" spans="1:17" x14ac:dyDescent="0.3">
      <c r="A31" s="159"/>
      <c r="B31" s="159"/>
      <c r="C31" s="159"/>
      <c r="D31" s="159"/>
      <c r="E31" s="159"/>
      <c r="F31" s="159"/>
      <c r="G31" s="159"/>
      <c r="H31" s="159"/>
    </row>
    <row r="32" spans="1:17" x14ac:dyDescent="0.3">
      <c r="A32" s="159"/>
      <c r="B32" s="159"/>
      <c r="C32" s="159"/>
      <c r="D32" s="159"/>
      <c r="E32" s="159" t="s">
        <v>116</v>
      </c>
      <c r="F32" s="159"/>
      <c r="G32" s="159"/>
      <c r="H32" s="159"/>
    </row>
    <row r="33" spans="1:24" ht="15.05" x14ac:dyDescent="0.3">
      <c r="B33" s="46" t="s">
        <v>26</v>
      </c>
      <c r="C33" s="46"/>
      <c r="D33" s="46"/>
      <c r="E33" s="50" t="s">
        <v>28</v>
      </c>
      <c r="F33" s="51"/>
      <c r="G33" s="51"/>
      <c r="H33" s="34"/>
      <c r="I33" s="34"/>
      <c r="J33" s="23"/>
      <c r="K33" s="23"/>
      <c r="M33" s="34"/>
      <c r="N33" s="23"/>
      <c r="O33" s="23"/>
      <c r="X33" s="4"/>
    </row>
    <row r="34" spans="1:24" ht="15.05" x14ac:dyDescent="0.3">
      <c r="B34" s="50" t="s">
        <v>27</v>
      </c>
      <c r="C34" s="51"/>
      <c r="D34" s="52"/>
      <c r="E34" s="51" t="s">
        <v>30</v>
      </c>
      <c r="F34" s="51"/>
      <c r="G34" s="51"/>
      <c r="H34" s="34"/>
      <c r="I34" s="34"/>
      <c r="J34" s="23"/>
      <c r="K34" s="23"/>
      <c r="M34" s="34"/>
      <c r="N34" s="23"/>
      <c r="O34" s="23"/>
      <c r="X34" s="4"/>
    </row>
    <row r="35" spans="1:24" ht="15.05" x14ac:dyDescent="0.3">
      <c r="A35" s="52"/>
      <c r="B35" s="51" t="s">
        <v>29</v>
      </c>
      <c r="C35" s="52"/>
      <c r="D35" s="52"/>
      <c r="E35" s="51" t="s">
        <v>31</v>
      </c>
      <c r="F35" s="51"/>
      <c r="G35" s="51"/>
      <c r="H35" s="34"/>
      <c r="I35" s="34"/>
      <c r="J35" s="23"/>
      <c r="K35" s="23"/>
      <c r="M35" s="34"/>
      <c r="N35" s="23"/>
      <c r="O35" s="23"/>
      <c r="X35" s="4"/>
    </row>
  </sheetData>
  <mergeCells count="34">
    <mergeCell ref="O1:P6"/>
    <mergeCell ref="I2:K3"/>
    <mergeCell ref="L2:N3"/>
    <mergeCell ref="C3:H3"/>
    <mergeCell ref="C4:H4"/>
    <mergeCell ref="A1:A6"/>
    <mergeCell ref="B1:B6"/>
    <mergeCell ref="C1:H2"/>
    <mergeCell ref="I1:K1"/>
    <mergeCell ref="L1:N1"/>
    <mergeCell ref="I4:K4"/>
    <mergeCell ref="L4:N4"/>
    <mergeCell ref="C5:H6"/>
    <mergeCell ref="I5:K6"/>
    <mergeCell ref="L5:N5"/>
    <mergeCell ref="L6:N6"/>
    <mergeCell ref="A8:P9"/>
    <mergeCell ref="A11:P11"/>
    <mergeCell ref="I12:L12"/>
    <mergeCell ref="M12:P12"/>
    <mergeCell ref="B14:C14"/>
    <mergeCell ref="A12:H13"/>
    <mergeCell ref="A25:F25"/>
    <mergeCell ref="A26:F26"/>
    <mergeCell ref="B15:G15"/>
    <mergeCell ref="B16:C16"/>
    <mergeCell ref="B17:C17"/>
    <mergeCell ref="B18:G18"/>
    <mergeCell ref="B19:C19"/>
    <mergeCell ref="A20:P20"/>
    <mergeCell ref="A21:F21"/>
    <mergeCell ref="A22:E22"/>
    <mergeCell ref="A23:E23"/>
    <mergeCell ref="A24:E24"/>
  </mergeCells>
  <phoneticPr fontId="21" type="noConversion"/>
  <pageMargins left="1.45" right="0.7" top="0.75" bottom="0.75" header="0.3" footer="0.3"/>
  <pageSetup scale="50" fitToHeight="0" orientation="landscape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D1898-5349-474A-B5D9-55713BA3C69C}">
  <sheetPr>
    <pageSetUpPr fitToPage="1"/>
  </sheetPr>
  <dimension ref="A1:T45"/>
  <sheetViews>
    <sheetView showGridLines="0" view="pageBreakPreview" zoomScaleNormal="100" zoomScaleSheetLayoutView="100" workbookViewId="0">
      <selection activeCell="D13" sqref="D13:E13"/>
    </sheetView>
  </sheetViews>
  <sheetFormatPr baseColWidth="10" defaultColWidth="11.44140625" defaultRowHeight="15.05" x14ac:dyDescent="0.3"/>
  <cols>
    <col min="1" max="1" width="11.109375" style="55" customWidth="1"/>
    <col min="2" max="2" width="9.5546875" style="46" customWidth="1"/>
    <col min="3" max="3" width="9.88671875" style="46" customWidth="1"/>
    <col min="4" max="4" width="35.6640625" style="46" customWidth="1"/>
    <col min="5" max="5" width="18.109375" style="46" customWidth="1"/>
    <col min="6" max="6" width="11.33203125" style="186" bestFit="1" customWidth="1"/>
    <col min="7" max="7" width="21.6640625" style="186" customWidth="1"/>
    <col min="8" max="16384" width="11.44140625" style="55"/>
  </cols>
  <sheetData>
    <row r="1" spans="2:9" ht="19.649999999999999" customHeight="1" x14ac:dyDescent="0.3">
      <c r="B1" s="443"/>
      <c r="C1" s="446"/>
      <c r="D1" s="486" t="s">
        <v>3</v>
      </c>
      <c r="E1" s="176" t="s">
        <v>4</v>
      </c>
      <c r="F1" s="122">
        <v>103</v>
      </c>
      <c r="G1" s="487"/>
    </row>
    <row r="2" spans="2:9" ht="16.55" customHeight="1" x14ac:dyDescent="0.3">
      <c r="B2" s="444"/>
      <c r="C2" s="303"/>
      <c r="D2" s="305"/>
      <c r="E2" s="177" t="s">
        <v>5</v>
      </c>
      <c r="F2" s="313">
        <v>51</v>
      </c>
      <c r="G2" s="488"/>
    </row>
    <row r="3" spans="2:9" ht="27.65" customHeight="1" x14ac:dyDescent="0.3">
      <c r="B3" s="444"/>
      <c r="C3" s="303"/>
      <c r="D3" s="5" t="s">
        <v>6</v>
      </c>
      <c r="E3" s="178"/>
      <c r="F3" s="314"/>
      <c r="G3" s="488"/>
    </row>
    <row r="4" spans="2:9" ht="16.55" customHeight="1" x14ac:dyDescent="0.3">
      <c r="B4" s="444"/>
      <c r="C4" s="303"/>
      <c r="D4" s="6" t="s">
        <v>7</v>
      </c>
      <c r="E4" s="179" t="s">
        <v>8</v>
      </c>
      <c r="F4" s="7">
        <v>1</v>
      </c>
      <c r="G4" s="488"/>
    </row>
    <row r="5" spans="2:9" s="182" customFormat="1" ht="16.55" customHeight="1" x14ac:dyDescent="0.3">
      <c r="B5" s="444"/>
      <c r="C5" s="303"/>
      <c r="D5" s="317" t="s">
        <v>9</v>
      </c>
      <c r="E5" s="180" t="s">
        <v>10</v>
      </c>
      <c r="F5" s="5" t="s">
        <v>11</v>
      </c>
      <c r="G5" s="488"/>
      <c r="H5" s="181"/>
    </row>
    <row r="6" spans="2:9" s="182" customFormat="1" x14ac:dyDescent="0.3">
      <c r="B6" s="444"/>
      <c r="C6" s="303"/>
      <c r="D6" s="317"/>
      <c r="E6" s="160"/>
      <c r="F6" s="8">
        <v>44216</v>
      </c>
      <c r="G6" s="488"/>
      <c r="H6" s="181"/>
    </row>
    <row r="7" spans="2:9" s="182" customFormat="1" ht="16.55" customHeight="1" thickBot="1" x14ac:dyDescent="0.35">
      <c r="B7" s="183"/>
      <c r="C7" s="9"/>
      <c r="D7" s="9"/>
      <c r="E7" s="9"/>
      <c r="F7" s="9"/>
      <c r="G7" s="184"/>
      <c r="H7" s="10"/>
      <c r="I7" s="181"/>
    </row>
    <row r="8" spans="2:9" s="182" customFormat="1" ht="18.649999999999999" customHeight="1" x14ac:dyDescent="0.3">
      <c r="B8" s="489" t="str">
        <f>PRESUPUESTO!A8</f>
        <v>MEJORAMIENTO DEL SISTEMA DE TRATAMIENTO DE AGUAS RESIDUALES EN LA INSTITUCION EDUCATIVA RURAL SAN CARLOS, SEDE PRINCIPAL, EN EL MUNICIPIO DE SAN MIGUEL PUTUMAYO.</v>
      </c>
      <c r="C8" s="490"/>
      <c r="D8" s="490"/>
      <c r="E8" s="490"/>
      <c r="F8" s="490"/>
      <c r="G8" s="491"/>
      <c r="H8"/>
      <c r="I8" s="181"/>
    </row>
    <row r="9" spans="2:9" s="182" customFormat="1" ht="18.649999999999999" customHeight="1" thickBot="1" x14ac:dyDescent="0.35">
      <c r="B9" s="492"/>
      <c r="C9" s="493"/>
      <c r="D9" s="493"/>
      <c r="E9" s="493"/>
      <c r="F9" s="493"/>
      <c r="G9" s="494"/>
      <c r="H9"/>
      <c r="I9" s="181"/>
    </row>
    <row r="10" spans="2:9" x14ac:dyDescent="0.3">
      <c r="B10" s="185"/>
      <c r="G10" s="187"/>
    </row>
    <row r="11" spans="2:9" x14ac:dyDescent="0.3">
      <c r="B11" s="495" t="s">
        <v>119</v>
      </c>
      <c r="C11" s="496"/>
      <c r="D11" s="496"/>
      <c r="E11" s="496"/>
      <c r="F11" s="497"/>
      <c r="G11" s="188" t="s">
        <v>64</v>
      </c>
    </row>
    <row r="12" spans="2:9" x14ac:dyDescent="0.3">
      <c r="B12" s="189" t="s">
        <v>120</v>
      </c>
      <c r="C12" s="64"/>
      <c r="D12" s="479" t="s">
        <v>121</v>
      </c>
      <c r="E12" s="480"/>
      <c r="F12" s="190"/>
      <c r="G12" s="191">
        <v>100</v>
      </c>
    </row>
    <row r="13" spans="2:9" x14ac:dyDescent="0.3">
      <c r="B13" s="189" t="s">
        <v>122</v>
      </c>
      <c r="C13" s="64"/>
      <c r="D13" s="479" t="s">
        <v>123</v>
      </c>
      <c r="E13" s="480"/>
      <c r="F13" s="190"/>
      <c r="G13" s="191">
        <f>SUM(G14:G29)</f>
        <v>75.432000000000002</v>
      </c>
    </row>
    <row r="14" spans="2:9" x14ac:dyDescent="0.3">
      <c r="B14" s="189"/>
      <c r="C14" s="64" t="s">
        <v>124</v>
      </c>
      <c r="D14" s="343" t="s">
        <v>125</v>
      </c>
      <c r="E14" s="344"/>
      <c r="F14" s="76" t="s">
        <v>126</v>
      </c>
      <c r="G14" s="191">
        <v>8.33</v>
      </c>
    </row>
    <row r="15" spans="2:9" x14ac:dyDescent="0.3">
      <c r="B15" s="189"/>
      <c r="C15" s="64" t="s">
        <v>127</v>
      </c>
      <c r="D15" s="343" t="s">
        <v>128</v>
      </c>
      <c r="E15" s="344"/>
      <c r="F15" s="76" t="s">
        <v>129</v>
      </c>
      <c r="G15" s="191">
        <v>1</v>
      </c>
    </row>
    <row r="16" spans="2:9" x14ac:dyDescent="0.3">
      <c r="B16" s="189"/>
      <c r="C16" s="64" t="s">
        <v>130</v>
      </c>
      <c r="D16" s="343" t="s">
        <v>131</v>
      </c>
      <c r="E16" s="344"/>
      <c r="F16" s="76" t="s">
        <v>126</v>
      </c>
      <c r="G16" s="191">
        <v>8.33</v>
      </c>
    </row>
    <row r="17" spans="2:7" x14ac:dyDescent="0.3">
      <c r="B17" s="189"/>
      <c r="C17" s="64" t="s">
        <v>132</v>
      </c>
      <c r="D17" s="343" t="s">
        <v>133</v>
      </c>
      <c r="E17" s="344"/>
      <c r="F17" s="192" t="s">
        <v>134</v>
      </c>
      <c r="G17" s="191">
        <v>4</v>
      </c>
    </row>
    <row r="18" spans="2:7" x14ac:dyDescent="0.3">
      <c r="B18" s="189"/>
      <c r="C18" s="64" t="s">
        <v>135</v>
      </c>
      <c r="D18" s="343" t="s">
        <v>136</v>
      </c>
      <c r="E18" s="344"/>
      <c r="F18" s="192" t="s">
        <v>134</v>
      </c>
      <c r="G18" s="191">
        <v>2</v>
      </c>
    </row>
    <row r="19" spans="2:7" x14ac:dyDescent="0.3">
      <c r="B19" s="189"/>
      <c r="C19" s="64" t="s">
        <v>137</v>
      </c>
      <c r="D19" s="343" t="s">
        <v>138</v>
      </c>
      <c r="E19" s="344"/>
      <c r="F19" s="192" t="s">
        <v>134</v>
      </c>
      <c r="G19" s="191">
        <v>3</v>
      </c>
    </row>
    <row r="20" spans="2:7" x14ac:dyDescent="0.3">
      <c r="B20" s="189"/>
      <c r="C20" s="64" t="s">
        <v>139</v>
      </c>
      <c r="D20" s="343" t="s">
        <v>140</v>
      </c>
      <c r="E20" s="344"/>
      <c r="F20" s="192" t="s">
        <v>134</v>
      </c>
      <c r="G20" s="191">
        <v>8.5</v>
      </c>
    </row>
    <row r="21" spans="2:7" x14ac:dyDescent="0.3">
      <c r="B21" s="189"/>
      <c r="C21" s="64" t="s">
        <v>141</v>
      </c>
      <c r="D21" s="343" t="s">
        <v>142</v>
      </c>
      <c r="E21" s="344"/>
      <c r="F21" s="192" t="s">
        <v>134</v>
      </c>
      <c r="G21" s="191">
        <v>12</v>
      </c>
    </row>
    <row r="22" spans="2:7" x14ac:dyDescent="0.3">
      <c r="B22" s="189"/>
      <c r="C22" s="64" t="s">
        <v>143</v>
      </c>
      <c r="D22" s="343" t="s">
        <v>144</v>
      </c>
      <c r="E22" s="344"/>
      <c r="F22" s="192" t="s">
        <v>134</v>
      </c>
      <c r="G22" s="191">
        <v>6.96</v>
      </c>
    </row>
    <row r="23" spans="2:7" x14ac:dyDescent="0.3">
      <c r="B23" s="189"/>
      <c r="C23" s="64" t="s">
        <v>145</v>
      </c>
      <c r="D23" s="343" t="s">
        <v>146</v>
      </c>
      <c r="E23" s="344"/>
      <c r="F23" s="192" t="s">
        <v>134</v>
      </c>
      <c r="G23" s="191">
        <v>0.52200000000000002</v>
      </c>
    </row>
    <row r="24" spans="2:7" x14ac:dyDescent="0.3">
      <c r="B24" s="189"/>
      <c r="C24" s="64" t="s">
        <v>147</v>
      </c>
      <c r="D24" s="343" t="s">
        <v>148</v>
      </c>
      <c r="E24" s="344"/>
      <c r="F24" s="76" t="s">
        <v>149</v>
      </c>
      <c r="G24" s="191">
        <v>4.17</v>
      </c>
    </row>
    <row r="25" spans="2:7" x14ac:dyDescent="0.3">
      <c r="B25" s="189"/>
      <c r="C25" s="64" t="s">
        <v>150</v>
      </c>
      <c r="D25" s="484" t="s">
        <v>151</v>
      </c>
      <c r="E25" s="485"/>
      <c r="F25" s="193" t="s">
        <v>152</v>
      </c>
      <c r="G25" s="194">
        <v>0.83</v>
      </c>
    </row>
    <row r="26" spans="2:7" x14ac:dyDescent="0.3">
      <c r="B26" s="189"/>
      <c r="C26" s="64" t="s">
        <v>153</v>
      </c>
      <c r="D26" s="343" t="s">
        <v>154</v>
      </c>
      <c r="E26" s="344"/>
      <c r="F26" s="192" t="s">
        <v>134</v>
      </c>
      <c r="G26" s="191">
        <v>11.71</v>
      </c>
    </row>
    <row r="27" spans="2:7" x14ac:dyDescent="0.3">
      <c r="B27" s="189"/>
      <c r="C27" s="64" t="s">
        <v>155</v>
      </c>
      <c r="D27" s="484" t="s">
        <v>156</v>
      </c>
      <c r="E27" s="485"/>
      <c r="F27" s="195" t="s">
        <v>134</v>
      </c>
      <c r="G27" s="194">
        <v>0.08</v>
      </c>
    </row>
    <row r="28" spans="2:7" x14ac:dyDescent="0.3">
      <c r="B28" s="189"/>
      <c r="C28" s="64" t="s">
        <v>157</v>
      </c>
      <c r="D28" s="484" t="s">
        <v>158</v>
      </c>
      <c r="E28" s="485"/>
      <c r="F28" s="195" t="s">
        <v>134</v>
      </c>
      <c r="G28" s="194">
        <v>2</v>
      </c>
    </row>
    <row r="29" spans="2:7" x14ac:dyDescent="0.3">
      <c r="B29" s="189"/>
      <c r="C29" s="64" t="s">
        <v>159</v>
      </c>
      <c r="D29" s="343" t="s">
        <v>160</v>
      </c>
      <c r="E29" s="344"/>
      <c r="F29" s="195" t="s">
        <v>134</v>
      </c>
      <c r="G29" s="191">
        <v>2</v>
      </c>
    </row>
    <row r="30" spans="2:7" x14ac:dyDescent="0.3">
      <c r="B30" s="189" t="s">
        <v>161</v>
      </c>
      <c r="C30" s="64"/>
      <c r="D30" s="479" t="s">
        <v>162</v>
      </c>
      <c r="E30" s="480"/>
      <c r="F30" s="76"/>
      <c r="G30" s="196">
        <f>G12+G13</f>
        <v>175.43200000000002</v>
      </c>
    </row>
    <row r="31" spans="2:7" x14ac:dyDescent="0.3">
      <c r="B31" s="189"/>
      <c r="C31" s="64"/>
      <c r="D31" s="479"/>
      <c r="E31" s="480"/>
      <c r="F31" s="76"/>
      <c r="G31" s="191"/>
    </row>
    <row r="32" spans="2:7" x14ac:dyDescent="0.3">
      <c r="B32" s="189" t="s">
        <v>163</v>
      </c>
      <c r="C32" s="64"/>
      <c r="D32" s="479" t="s">
        <v>164</v>
      </c>
      <c r="E32" s="480"/>
      <c r="F32" s="76"/>
      <c r="G32" s="191">
        <f>G30</f>
        <v>175.43200000000002</v>
      </c>
    </row>
    <row r="33" spans="1:20" ht="15.75" thickBot="1" x14ac:dyDescent="0.35">
      <c r="B33" s="197"/>
      <c r="C33" s="198"/>
      <c r="D33" s="481" t="s">
        <v>165</v>
      </c>
      <c r="E33" s="482"/>
      <c r="F33" s="199"/>
      <c r="G33" s="200">
        <f>ROUND(G32/100,2)</f>
        <v>1.75</v>
      </c>
    </row>
    <row r="34" spans="1:20" x14ac:dyDescent="0.3">
      <c r="B34" s="201"/>
      <c r="C34" s="202"/>
      <c r="D34" s="202"/>
      <c r="E34" s="203"/>
      <c r="F34" s="204"/>
      <c r="G34" s="205"/>
    </row>
    <row r="35" spans="1:20" x14ac:dyDescent="0.3">
      <c r="B35" s="185"/>
      <c r="G35" s="187"/>
    </row>
    <row r="36" spans="1:20" x14ac:dyDescent="0.3">
      <c r="B36" s="185"/>
      <c r="G36" s="187"/>
    </row>
    <row r="37" spans="1:20" x14ac:dyDescent="0.3">
      <c r="B37" s="185"/>
      <c r="G37" s="187"/>
    </row>
    <row r="38" spans="1:20" s="3" customFormat="1" x14ac:dyDescent="0.3">
      <c r="B38" s="206"/>
      <c r="C38" s="46"/>
      <c r="D38" s="46"/>
      <c r="E38" s="47"/>
      <c r="F38" s="48"/>
      <c r="G38" s="207"/>
      <c r="H38" s="34"/>
      <c r="I38" s="34"/>
      <c r="J38" s="23"/>
      <c r="K38" s="23"/>
      <c r="T38" s="4"/>
    </row>
    <row r="39" spans="1:20" s="3" customFormat="1" x14ac:dyDescent="0.3">
      <c r="B39" s="185" t="s">
        <v>26</v>
      </c>
      <c r="C39" s="46"/>
      <c r="D39" s="46"/>
      <c r="E39" s="50" t="s">
        <v>28</v>
      </c>
      <c r="F39" s="51"/>
      <c r="G39" s="208"/>
      <c r="H39" s="34"/>
      <c r="I39" s="34"/>
      <c r="J39" s="23"/>
      <c r="K39" s="23"/>
      <c r="T39" s="4"/>
    </row>
    <row r="40" spans="1:20" s="3" customFormat="1" x14ac:dyDescent="0.3">
      <c r="B40" s="209" t="s">
        <v>27</v>
      </c>
      <c r="C40" s="51"/>
      <c r="D40" s="52"/>
      <c r="E40" s="51" t="s">
        <v>30</v>
      </c>
      <c r="F40" s="51"/>
      <c r="G40" s="208"/>
      <c r="H40" s="34"/>
      <c r="I40" s="34"/>
      <c r="J40" s="23"/>
      <c r="K40" s="23"/>
      <c r="T40" s="4"/>
    </row>
    <row r="41" spans="1:20" s="3" customFormat="1" ht="15.75" thickBot="1" x14ac:dyDescent="0.35">
      <c r="A41" s="52"/>
      <c r="B41" s="210" t="s">
        <v>29</v>
      </c>
      <c r="C41" s="211"/>
      <c r="D41" s="211"/>
      <c r="E41" s="212" t="s">
        <v>31</v>
      </c>
      <c r="F41" s="212"/>
      <c r="G41" s="213"/>
      <c r="H41" s="34"/>
      <c r="I41" s="34"/>
      <c r="J41" s="23"/>
      <c r="K41" s="23"/>
      <c r="T41" s="4"/>
    </row>
    <row r="44" spans="1:20" x14ac:dyDescent="0.3">
      <c r="B44" s="483"/>
      <c r="C44" s="483"/>
      <c r="D44" s="483"/>
    </row>
    <row r="45" spans="1:20" x14ac:dyDescent="0.3">
      <c r="B45" s="478"/>
      <c r="C45" s="478"/>
      <c r="D45" s="478"/>
    </row>
  </sheetData>
  <mergeCells count="31">
    <mergeCell ref="D16:E16"/>
    <mergeCell ref="B1:C6"/>
    <mergeCell ref="D1:D2"/>
    <mergeCell ref="G1:G6"/>
    <mergeCell ref="F2:F3"/>
    <mergeCell ref="D5:D6"/>
    <mergeCell ref="B8:G9"/>
    <mergeCell ref="B11:F11"/>
    <mergeCell ref="D12:E12"/>
    <mergeCell ref="D13:E13"/>
    <mergeCell ref="D14:E14"/>
    <mergeCell ref="D15:E15"/>
    <mergeCell ref="D28:E28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B45:D45"/>
    <mergeCell ref="D29:E29"/>
    <mergeCell ref="D30:E30"/>
    <mergeCell ref="D31:E31"/>
    <mergeCell ref="D32:E32"/>
    <mergeCell ref="D33:E33"/>
    <mergeCell ref="B44:D44"/>
  </mergeCells>
  <printOptions horizontalCentered="1" verticalCentered="1" gridLinesSet="0"/>
  <pageMargins left="7.874015748031496E-2" right="7.874015748031496E-2" top="0.74803149606299213" bottom="0.74803149606299213" header="0.31496062992125984" footer="0.31496062992125984"/>
  <pageSetup scale="81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1296-E651-4929-BFAF-EE2FC9F00783}">
  <sheetPr>
    <pageSetUpPr fitToPage="1"/>
  </sheetPr>
  <dimension ref="A1:T58"/>
  <sheetViews>
    <sheetView view="pageBreakPreview" topLeftCell="A19" zoomScale="90" zoomScaleNormal="100" zoomScaleSheetLayoutView="90" workbookViewId="0">
      <selection activeCell="N16" sqref="N16"/>
    </sheetView>
  </sheetViews>
  <sheetFormatPr baseColWidth="10" defaultColWidth="11.44140625" defaultRowHeight="14.4" x14ac:dyDescent="0.3"/>
  <cols>
    <col min="1" max="4" width="18.88671875" style="228" customWidth="1"/>
    <col min="5" max="5" width="18.88671875" style="229" customWidth="1"/>
    <col min="6" max="7" width="18.88671875" style="228" customWidth="1"/>
    <col min="8" max="8" width="19.33203125" style="217" customWidth="1"/>
    <col min="9" max="9" width="12.44140625" style="217" bestFit="1" customWidth="1"/>
    <col min="10" max="10" width="12.5546875" style="217" bestFit="1" customWidth="1"/>
    <col min="11" max="11" width="11.44140625" style="217"/>
    <col min="12" max="12" width="13.44140625" style="217" bestFit="1" customWidth="1"/>
    <col min="13" max="16384" width="11.44140625" style="217"/>
  </cols>
  <sheetData>
    <row r="1" spans="1:7" x14ac:dyDescent="0.3">
      <c r="A1" s="546"/>
      <c r="B1" s="549" t="s">
        <v>166</v>
      </c>
      <c r="C1" s="550"/>
      <c r="D1" s="214" t="s">
        <v>167</v>
      </c>
      <c r="E1" s="215">
        <v>103</v>
      </c>
      <c r="F1" s="553"/>
      <c r="G1" s="216"/>
    </row>
    <row r="2" spans="1:7" x14ac:dyDescent="0.3">
      <c r="A2" s="547"/>
      <c r="B2" s="551"/>
      <c r="C2" s="552"/>
      <c r="D2" s="556" t="s">
        <v>5</v>
      </c>
      <c r="E2" s="558">
        <v>51</v>
      </c>
      <c r="F2" s="554"/>
      <c r="G2" s="216"/>
    </row>
    <row r="3" spans="1:7" x14ac:dyDescent="0.3">
      <c r="A3" s="547"/>
      <c r="B3" s="560" t="s">
        <v>6</v>
      </c>
      <c r="C3" s="527"/>
      <c r="D3" s="557"/>
      <c r="E3" s="559"/>
      <c r="F3" s="554"/>
      <c r="G3" s="216"/>
    </row>
    <row r="4" spans="1:7" x14ac:dyDescent="0.3">
      <c r="A4" s="547"/>
      <c r="B4" s="561" t="s">
        <v>7</v>
      </c>
      <c r="C4" s="562"/>
      <c r="D4" s="218" t="s">
        <v>8</v>
      </c>
      <c r="E4" s="219">
        <v>1</v>
      </c>
      <c r="F4" s="554"/>
      <c r="G4" s="216"/>
    </row>
    <row r="5" spans="1:7" x14ac:dyDescent="0.3">
      <c r="A5" s="547"/>
      <c r="B5" s="563" t="s">
        <v>9</v>
      </c>
      <c r="C5" s="564"/>
      <c r="D5" s="556" t="s">
        <v>10</v>
      </c>
      <c r="E5" s="219" t="s">
        <v>11</v>
      </c>
      <c r="F5" s="554"/>
      <c r="G5" s="216"/>
    </row>
    <row r="6" spans="1:7" x14ac:dyDescent="0.3">
      <c r="A6" s="548"/>
      <c r="B6" s="565"/>
      <c r="C6" s="566"/>
      <c r="D6" s="557"/>
      <c r="E6" s="220">
        <f>[11]PRESUPUESTO!F6</f>
        <v>45402</v>
      </c>
      <c r="F6" s="555"/>
      <c r="G6" s="216"/>
    </row>
    <row r="7" spans="1:7" ht="15.05" thickBot="1" x14ac:dyDescent="0.35">
      <c r="A7" s="221"/>
      <c r="B7" s="222"/>
      <c r="C7" s="222"/>
      <c r="D7" s="222"/>
      <c r="E7" s="223"/>
      <c r="F7" s="224"/>
      <c r="G7" s="222"/>
    </row>
    <row r="8" spans="1:7" x14ac:dyDescent="0.3">
      <c r="A8" s="489" t="str">
        <f>PRESUPUESTO!A8</f>
        <v>MEJORAMIENTO DEL SISTEMA DE TRATAMIENTO DE AGUAS RESIDUALES EN LA INSTITUCION EDUCATIVA RURAL SAN CARLOS, SEDE PRINCIPAL, EN EL MUNICIPIO DE SAN MIGUEL PUTUMAYO.</v>
      </c>
      <c r="B8" s="490"/>
      <c r="C8" s="490"/>
      <c r="D8" s="490"/>
      <c r="E8" s="490"/>
      <c r="F8" s="491"/>
      <c r="G8" s="225"/>
    </row>
    <row r="9" spans="1:7" ht="15.05" thickBot="1" x14ac:dyDescent="0.35">
      <c r="A9" s="492"/>
      <c r="B9" s="493"/>
      <c r="C9" s="493"/>
      <c r="D9" s="493"/>
      <c r="E9" s="493"/>
      <c r="F9" s="494"/>
      <c r="G9" s="225"/>
    </row>
    <row r="10" spans="1:7" ht="15.05" thickBot="1" x14ac:dyDescent="0.35">
      <c r="A10" s="567" t="s">
        <v>199</v>
      </c>
      <c r="B10" s="568"/>
      <c r="C10" s="568"/>
      <c r="D10" s="568"/>
      <c r="E10" s="568"/>
      <c r="F10" s="569"/>
      <c r="G10" s="226"/>
    </row>
    <row r="11" spans="1:7" x14ac:dyDescent="0.3">
      <c r="A11" s="227"/>
      <c r="F11" s="230"/>
    </row>
    <row r="12" spans="1:7" x14ac:dyDescent="0.3">
      <c r="A12" s="570" t="s">
        <v>168</v>
      </c>
      <c r="B12" s="571"/>
      <c r="C12" s="571"/>
      <c r="D12" s="571"/>
      <c r="E12" s="571"/>
      <c r="F12" s="572"/>
      <c r="G12" s="231"/>
    </row>
    <row r="13" spans="1:7" x14ac:dyDescent="0.3">
      <c r="A13" s="232" t="s">
        <v>169</v>
      </c>
      <c r="B13" s="233" t="s">
        <v>170</v>
      </c>
      <c r="C13" s="560" t="s">
        <v>171</v>
      </c>
      <c r="D13" s="527"/>
      <c r="E13" s="560" t="s">
        <v>172</v>
      </c>
      <c r="F13" s="573"/>
      <c r="G13" s="234"/>
    </row>
    <row r="14" spans="1:7" x14ac:dyDescent="0.3">
      <c r="A14" s="235" t="s">
        <v>200</v>
      </c>
      <c r="B14" s="236">
        <v>2300000</v>
      </c>
      <c r="C14" s="542">
        <f>+'[11]F.M '!G33</f>
        <v>1.75</v>
      </c>
      <c r="D14" s="543"/>
      <c r="E14" s="544">
        <f>B14*C14</f>
        <v>4025000</v>
      </c>
      <c r="F14" s="545"/>
      <c r="G14" s="237"/>
    </row>
    <row r="15" spans="1:7" x14ac:dyDescent="0.3">
      <c r="A15" s="520" t="s">
        <v>174</v>
      </c>
      <c r="B15" s="521"/>
      <c r="C15" s="521"/>
      <c r="D15" s="521"/>
      <c r="E15" s="521"/>
      <c r="F15" s="522"/>
      <c r="G15" s="238"/>
    </row>
    <row r="16" spans="1:7" ht="43.2" x14ac:dyDescent="0.3">
      <c r="A16" s="239" t="s">
        <v>175</v>
      </c>
      <c r="B16" s="240" t="s">
        <v>172</v>
      </c>
      <c r="C16" s="240" t="s">
        <v>176</v>
      </c>
      <c r="D16" s="240" t="s">
        <v>177</v>
      </c>
      <c r="E16" s="241" t="s">
        <v>178</v>
      </c>
      <c r="F16" s="242" t="s">
        <v>179</v>
      </c>
      <c r="G16" s="243"/>
    </row>
    <row r="17" spans="1:8" x14ac:dyDescent="0.3">
      <c r="A17" s="244" t="s">
        <v>173</v>
      </c>
      <c r="B17" s="245">
        <f>E14</f>
        <v>4025000</v>
      </c>
      <c r="C17" s="246">
        <v>0.5</v>
      </c>
      <c r="D17" s="247">
        <v>2</v>
      </c>
      <c r="E17" s="248">
        <f>ROUND((B17*C17*D17),0)</f>
        <v>4025000</v>
      </c>
      <c r="F17" s="249">
        <f>E17/E45</f>
        <v>0.10838433522037821</v>
      </c>
      <c r="G17" s="243"/>
    </row>
    <row r="18" spans="1:8" x14ac:dyDescent="0.3">
      <c r="A18" s="533" t="s">
        <v>180</v>
      </c>
      <c r="B18" s="534"/>
      <c r="C18" s="528"/>
      <c r="D18" s="529"/>
      <c r="E18" s="250"/>
      <c r="F18" s="251"/>
      <c r="G18" s="243"/>
    </row>
    <row r="19" spans="1:8" x14ac:dyDescent="0.3">
      <c r="A19" s="535" t="s">
        <v>181</v>
      </c>
      <c r="B19" s="536"/>
      <c r="C19" s="252"/>
      <c r="D19" s="252"/>
      <c r="E19" s="253">
        <v>251318.08</v>
      </c>
      <c r="F19" s="254">
        <f>E19/E45</f>
        <v>6.7674392620277832E-3</v>
      </c>
      <c r="G19" s="243"/>
    </row>
    <row r="20" spans="1:8" x14ac:dyDescent="0.3">
      <c r="A20" s="537" t="s">
        <v>182</v>
      </c>
      <c r="B20" s="538"/>
      <c r="C20" s="255"/>
      <c r="D20" s="252"/>
      <c r="E20" s="248"/>
      <c r="F20" s="256"/>
      <c r="G20" s="243"/>
    </row>
    <row r="21" spans="1:8" x14ac:dyDescent="0.3">
      <c r="A21" s="539" t="s">
        <v>183</v>
      </c>
      <c r="B21" s="540"/>
      <c r="C21" s="252"/>
      <c r="D21" s="252"/>
      <c r="E21" s="257">
        <v>40000</v>
      </c>
      <c r="F21" s="258">
        <f>E21/E45</f>
        <v>1.0771114059168021E-3</v>
      </c>
      <c r="G21" s="243"/>
    </row>
    <row r="22" spans="1:8" x14ac:dyDescent="0.3">
      <c r="A22" s="539" t="s">
        <v>184</v>
      </c>
      <c r="B22" s="540"/>
      <c r="C22" s="252"/>
      <c r="D22" s="252"/>
      <c r="E22" s="257">
        <v>400000</v>
      </c>
      <c r="F22" s="258">
        <f>E22/E45</f>
        <v>1.0771114059168021E-2</v>
      </c>
      <c r="G22" s="243"/>
    </row>
    <row r="23" spans="1:8" x14ac:dyDescent="0.3">
      <c r="A23" s="539"/>
      <c r="B23" s="540"/>
      <c r="C23" s="252"/>
      <c r="D23" s="252"/>
      <c r="E23" s="257"/>
      <c r="F23" s="258">
        <f>E23/E45</f>
        <v>0</v>
      </c>
      <c r="G23" s="243"/>
    </row>
    <row r="24" spans="1:8" x14ac:dyDescent="0.3">
      <c r="A24" s="523" t="s">
        <v>185</v>
      </c>
      <c r="B24" s="541"/>
      <c r="C24" s="252"/>
      <c r="D24" s="252"/>
      <c r="E24" s="248"/>
      <c r="F24" s="259"/>
      <c r="G24" s="243"/>
    </row>
    <row r="25" spans="1:8" x14ac:dyDescent="0.3">
      <c r="A25" s="539" t="s">
        <v>186</v>
      </c>
      <c r="B25" s="540"/>
      <c r="C25" s="252"/>
      <c r="D25" s="252"/>
      <c r="E25" s="260">
        <f>E45*F25</f>
        <v>5681863.5160499997</v>
      </c>
      <c r="F25" s="261">
        <v>0.153</v>
      </c>
      <c r="G25" s="243"/>
    </row>
    <row r="26" spans="1:8" x14ac:dyDescent="0.3">
      <c r="A26" s="530" t="s">
        <v>187</v>
      </c>
      <c r="B26" s="531"/>
      <c r="C26" s="531"/>
      <c r="D26" s="532"/>
      <c r="E26" s="262">
        <f>ROUND(SUM(E17:E25),2)</f>
        <v>10398181.6</v>
      </c>
      <c r="F26" s="280">
        <f>SUM(F17:F25)</f>
        <v>0.27999999994749081</v>
      </c>
      <c r="G26" s="263">
        <v>10398181.6</v>
      </c>
      <c r="H26" s="264">
        <f>G26-E26</f>
        <v>0</v>
      </c>
    </row>
    <row r="27" spans="1:8" x14ac:dyDescent="0.3">
      <c r="A27" s="265"/>
      <c r="B27" s="266"/>
      <c r="C27" s="266"/>
      <c r="D27" s="266"/>
      <c r="E27" s="267"/>
      <c r="F27" s="268"/>
      <c r="G27" s="243"/>
    </row>
    <row r="28" spans="1:8" x14ac:dyDescent="0.3">
      <c r="A28" s="520" t="s">
        <v>188</v>
      </c>
      <c r="B28" s="521"/>
      <c r="C28" s="521"/>
      <c r="D28" s="521"/>
      <c r="E28" s="521"/>
      <c r="F28" s="522"/>
      <c r="G28" s="243"/>
    </row>
    <row r="29" spans="1:8" x14ac:dyDescent="0.3">
      <c r="A29" s="526" t="s">
        <v>109</v>
      </c>
      <c r="B29" s="527"/>
      <c r="C29" s="269"/>
      <c r="D29" s="528" t="s">
        <v>178</v>
      </c>
      <c r="E29" s="529"/>
      <c r="F29" s="270" t="s">
        <v>189</v>
      </c>
      <c r="G29" s="243"/>
    </row>
    <row r="30" spans="1:8" x14ac:dyDescent="0.3">
      <c r="A30" s="511" t="s">
        <v>22</v>
      </c>
      <c r="B30" s="512"/>
      <c r="C30" s="252"/>
      <c r="D30" s="513">
        <f>F30*E45</f>
        <v>371363.62850000005</v>
      </c>
      <c r="E30" s="514"/>
      <c r="F30" s="271">
        <v>0.01</v>
      </c>
      <c r="G30" s="243"/>
    </row>
    <row r="31" spans="1:8" x14ac:dyDescent="0.3">
      <c r="A31" s="530" t="s">
        <v>190</v>
      </c>
      <c r="B31" s="531"/>
      <c r="C31" s="532"/>
      <c r="D31" s="518">
        <f>ROUND(D30,2)</f>
        <v>371363.63</v>
      </c>
      <c r="E31" s="519"/>
      <c r="F31" s="272">
        <f>SUM(F30)</f>
        <v>0.01</v>
      </c>
      <c r="G31" s="243"/>
    </row>
    <row r="32" spans="1:8" x14ac:dyDescent="0.3">
      <c r="A32" s="265"/>
      <c r="B32" s="266"/>
      <c r="C32" s="266"/>
      <c r="D32" s="266"/>
      <c r="E32" s="267"/>
      <c r="F32" s="268"/>
      <c r="G32" s="243"/>
    </row>
    <row r="33" spans="1:10" x14ac:dyDescent="0.3">
      <c r="A33" s="520" t="s">
        <v>191</v>
      </c>
      <c r="B33" s="521"/>
      <c r="C33" s="521"/>
      <c r="D33" s="521"/>
      <c r="E33" s="521"/>
      <c r="F33" s="522"/>
      <c r="G33" s="243"/>
    </row>
    <row r="34" spans="1:10" x14ac:dyDescent="0.3">
      <c r="A34" s="526" t="s">
        <v>109</v>
      </c>
      <c r="B34" s="527"/>
      <c r="C34" s="269"/>
      <c r="D34" s="528" t="s">
        <v>178</v>
      </c>
      <c r="E34" s="529"/>
      <c r="F34" s="270" t="s">
        <v>189</v>
      </c>
      <c r="G34" s="243"/>
    </row>
    <row r="35" spans="1:10" x14ac:dyDescent="0.3">
      <c r="A35" s="511" t="s">
        <v>23</v>
      </c>
      <c r="B35" s="512"/>
      <c r="C35" s="252"/>
      <c r="D35" s="513">
        <f>F35*E45</f>
        <v>1114090.8855000001</v>
      </c>
      <c r="E35" s="514"/>
      <c r="F35" s="271">
        <v>0.03</v>
      </c>
      <c r="G35" s="243"/>
    </row>
    <row r="36" spans="1:10" x14ac:dyDescent="0.3">
      <c r="A36" s="530" t="s">
        <v>190</v>
      </c>
      <c r="B36" s="531"/>
      <c r="C36" s="532"/>
      <c r="D36" s="518">
        <f>ROUND(D35,2)</f>
        <v>1114090.8899999999</v>
      </c>
      <c r="E36" s="519"/>
      <c r="F36" s="272">
        <f>SUM(F35)</f>
        <v>0.03</v>
      </c>
      <c r="G36" s="243"/>
    </row>
    <row r="37" spans="1:10" x14ac:dyDescent="0.3">
      <c r="A37" s="265"/>
      <c r="B37" s="266"/>
      <c r="C37" s="266"/>
      <c r="D37" s="273"/>
      <c r="E37" s="273"/>
      <c r="F37" s="274"/>
      <c r="G37" s="243"/>
    </row>
    <row r="38" spans="1:10" x14ac:dyDescent="0.3">
      <c r="A38" s="520" t="s">
        <v>192</v>
      </c>
      <c r="B38" s="521"/>
      <c r="C38" s="521"/>
      <c r="D38" s="521"/>
      <c r="E38" s="521"/>
      <c r="F38" s="522"/>
      <c r="G38" s="243"/>
    </row>
    <row r="39" spans="1:10" x14ac:dyDescent="0.3">
      <c r="A39" s="523" t="s">
        <v>193</v>
      </c>
      <c r="B39" s="524"/>
      <c r="C39" s="524"/>
      <c r="D39" s="524"/>
      <c r="E39" s="524"/>
      <c r="F39" s="525"/>
      <c r="G39" s="243"/>
    </row>
    <row r="40" spans="1:10" x14ac:dyDescent="0.3">
      <c r="A40" s="526" t="s">
        <v>109</v>
      </c>
      <c r="B40" s="527"/>
      <c r="C40" s="269"/>
      <c r="D40" s="528" t="s">
        <v>178</v>
      </c>
      <c r="E40" s="529"/>
      <c r="F40" s="270" t="s">
        <v>189</v>
      </c>
      <c r="G40" s="222"/>
    </row>
    <row r="41" spans="1:10" x14ac:dyDescent="0.3">
      <c r="A41" s="511" t="s">
        <v>194</v>
      </c>
      <c r="B41" s="512"/>
      <c r="C41" s="252"/>
      <c r="D41" s="513">
        <f>+F41*E45</f>
        <v>10398181.59605</v>
      </c>
      <c r="E41" s="514"/>
      <c r="F41" s="275">
        <f>F26</f>
        <v>0.27999999994749081</v>
      </c>
      <c r="G41" s="276">
        <v>8113869.6100000003</v>
      </c>
      <c r="H41" s="277">
        <f>J41-I41</f>
        <v>-2284311.9860499995</v>
      </c>
      <c r="I41" s="278">
        <f>D41</f>
        <v>10398181.59605</v>
      </c>
      <c r="J41" s="277">
        <f>[11]PRESUPUESTO!G37</f>
        <v>8113869.6100000003</v>
      </c>
    </row>
    <row r="42" spans="1:10" x14ac:dyDescent="0.3">
      <c r="A42" s="511" t="s">
        <v>22</v>
      </c>
      <c r="B42" s="512"/>
      <c r="C42" s="252"/>
      <c r="D42" s="513">
        <f>F42*E45</f>
        <v>371363.62850000005</v>
      </c>
      <c r="E42" s="514"/>
      <c r="F42" s="275">
        <f>F31</f>
        <v>0.01</v>
      </c>
      <c r="G42" s="276">
        <v>601027.38</v>
      </c>
      <c r="H42" s="264">
        <f t="shared" ref="H42:H43" si="0">J42-I42</f>
        <v>229663.75149999995</v>
      </c>
      <c r="I42" s="278">
        <f>D42</f>
        <v>371363.62850000005</v>
      </c>
      <c r="J42" s="277">
        <f>[11]PRESUPUESTO!G38</f>
        <v>601027.38</v>
      </c>
    </row>
    <row r="43" spans="1:10" x14ac:dyDescent="0.3">
      <c r="A43" s="511" t="s">
        <v>23</v>
      </c>
      <c r="B43" s="512"/>
      <c r="C43" s="252"/>
      <c r="D43" s="513">
        <f>F43*E45</f>
        <v>1114090.8855000001</v>
      </c>
      <c r="E43" s="514"/>
      <c r="F43" s="271">
        <f>F36</f>
        <v>0.03</v>
      </c>
      <c r="G43" s="276">
        <v>901541.07</v>
      </c>
      <c r="H43" s="264">
        <f t="shared" si="0"/>
        <v>-212549.81550000014</v>
      </c>
      <c r="I43" s="278">
        <f>D43</f>
        <v>1114090.8855000001</v>
      </c>
      <c r="J43" s="277">
        <f>[11]PRESUPUESTO!G39</f>
        <v>901541.07</v>
      </c>
    </row>
    <row r="44" spans="1:10" x14ac:dyDescent="0.3">
      <c r="A44" s="515" t="s">
        <v>1</v>
      </c>
      <c r="B44" s="516"/>
      <c r="C44" s="517"/>
      <c r="D44" s="518">
        <f>SUM(D41:E43)</f>
        <v>11883636.11005</v>
      </c>
      <c r="E44" s="519"/>
      <c r="F44" s="272">
        <f>SUM(F41:F43)</f>
        <v>0.31999999994749084</v>
      </c>
      <c r="G44" s="279"/>
    </row>
    <row r="45" spans="1:10" x14ac:dyDescent="0.3">
      <c r="A45" s="499" t="s">
        <v>195</v>
      </c>
      <c r="B45" s="500"/>
      <c r="C45" s="500"/>
      <c r="D45" s="501"/>
      <c r="E45" s="502">
        <f>PRESUPUESTO!G22</f>
        <v>37136362.850000001</v>
      </c>
      <c r="F45" s="503"/>
      <c r="G45" s="279"/>
    </row>
    <row r="46" spans="1:10" x14ac:dyDescent="0.3">
      <c r="A46" s="499" t="s">
        <v>196</v>
      </c>
      <c r="B46" s="500"/>
      <c r="C46" s="500"/>
      <c r="D46" s="501"/>
      <c r="E46" s="504">
        <f>+D44</f>
        <v>11883636.11005</v>
      </c>
      <c r="F46" s="505"/>
      <c r="G46" s="279"/>
    </row>
    <row r="47" spans="1:10" ht="15.05" thickBot="1" x14ac:dyDescent="0.35">
      <c r="A47" s="506" t="s">
        <v>197</v>
      </c>
      <c r="B47" s="507"/>
      <c r="C47" s="507"/>
      <c r="D47" s="508"/>
      <c r="E47" s="509">
        <f>+E45+E46</f>
        <v>49019998.960050002</v>
      </c>
      <c r="F47" s="510"/>
      <c r="G47" s="279"/>
    </row>
    <row r="48" spans="1:10" x14ac:dyDescent="0.3">
      <c r="G48" s="279"/>
    </row>
    <row r="54" spans="1:20" x14ac:dyDescent="0.3">
      <c r="D54" s="228" t="s">
        <v>198</v>
      </c>
    </row>
    <row r="55" spans="1:20" s="3" customFormat="1" ht="15.05" x14ac:dyDescent="0.3">
      <c r="A55" s="46" t="s">
        <v>26</v>
      </c>
      <c r="C55" s="46"/>
      <c r="D55" s="50" t="s">
        <v>28</v>
      </c>
      <c r="E55" s="50"/>
      <c r="F55" s="51"/>
      <c r="G55" s="51"/>
      <c r="H55" s="34"/>
      <c r="I55" s="34"/>
      <c r="J55" s="23"/>
      <c r="K55" s="23"/>
      <c r="T55" s="4"/>
    </row>
    <row r="56" spans="1:20" s="3" customFormat="1" ht="15.05" x14ac:dyDescent="0.3">
      <c r="A56" s="50" t="s">
        <v>27</v>
      </c>
      <c r="C56" s="51"/>
      <c r="D56" s="51" t="s">
        <v>30</v>
      </c>
      <c r="E56" s="51"/>
      <c r="F56" s="51"/>
      <c r="G56" s="51"/>
      <c r="H56" s="34"/>
      <c r="I56" s="34"/>
      <c r="J56" s="23"/>
      <c r="K56" s="23"/>
      <c r="T56" s="4"/>
    </row>
    <row r="57" spans="1:20" s="3" customFormat="1" ht="15.05" x14ac:dyDescent="0.3">
      <c r="A57" s="51" t="s">
        <v>29</v>
      </c>
      <c r="C57" s="52"/>
      <c r="D57" s="51" t="s">
        <v>31</v>
      </c>
      <c r="E57" s="51"/>
      <c r="F57" s="51"/>
      <c r="G57" s="51"/>
      <c r="H57" s="34"/>
      <c r="I57" s="34"/>
      <c r="J57" s="23"/>
      <c r="K57" s="23"/>
      <c r="T57" s="4"/>
    </row>
    <row r="58" spans="1:20" x14ac:dyDescent="0.3">
      <c r="A58" s="498"/>
      <c r="B58" s="498"/>
      <c r="C58" s="498"/>
      <c r="D58" s="498"/>
      <c r="E58" s="498"/>
      <c r="F58" s="498"/>
      <c r="G58" s="216"/>
    </row>
  </sheetData>
  <mergeCells count="60">
    <mergeCell ref="C14:D14"/>
    <mergeCell ref="E14:F14"/>
    <mergeCell ref="A1:A6"/>
    <mergeCell ref="B1:C2"/>
    <mergeCell ref="F1:F6"/>
    <mergeCell ref="D2:D3"/>
    <mergeCell ref="E2:E3"/>
    <mergeCell ref="B3:C3"/>
    <mergeCell ref="B4:C4"/>
    <mergeCell ref="B5:C6"/>
    <mergeCell ref="D5:D6"/>
    <mergeCell ref="A8:F9"/>
    <mergeCell ref="A10:F10"/>
    <mergeCell ref="A12:F12"/>
    <mergeCell ref="C13:D13"/>
    <mergeCell ref="E13:F13"/>
    <mergeCell ref="A28:F28"/>
    <mergeCell ref="A15:F15"/>
    <mergeCell ref="A18:B18"/>
    <mergeCell ref="C18:D18"/>
    <mergeCell ref="A19:B19"/>
    <mergeCell ref="A20:B20"/>
    <mergeCell ref="A21:B21"/>
    <mergeCell ref="A22:B22"/>
    <mergeCell ref="A23:B23"/>
    <mergeCell ref="A24:B24"/>
    <mergeCell ref="A25:B25"/>
    <mergeCell ref="A26:D26"/>
    <mergeCell ref="A36:C36"/>
    <mergeCell ref="D36:E36"/>
    <mergeCell ref="A29:B29"/>
    <mergeCell ref="D29:E29"/>
    <mergeCell ref="A30:B30"/>
    <mergeCell ref="D30:E30"/>
    <mergeCell ref="A31:C31"/>
    <mergeCell ref="D31:E31"/>
    <mergeCell ref="A33:F33"/>
    <mergeCell ref="A34:B34"/>
    <mergeCell ref="D34:E34"/>
    <mergeCell ref="A35:B35"/>
    <mergeCell ref="D35:E35"/>
    <mergeCell ref="A38:F38"/>
    <mergeCell ref="A39:F39"/>
    <mergeCell ref="A40:B40"/>
    <mergeCell ref="D40:E40"/>
    <mergeCell ref="A41:B41"/>
    <mergeCell ref="D41:E41"/>
    <mergeCell ref="A42:B42"/>
    <mergeCell ref="D42:E42"/>
    <mergeCell ref="A43:B43"/>
    <mergeCell ref="D43:E43"/>
    <mergeCell ref="A44:C44"/>
    <mergeCell ref="D44:E44"/>
    <mergeCell ref="A58:F58"/>
    <mergeCell ref="A45:D45"/>
    <mergeCell ref="E45:F45"/>
    <mergeCell ref="A46:D46"/>
    <mergeCell ref="E46:F46"/>
    <mergeCell ref="A47:D47"/>
    <mergeCell ref="E47:F47"/>
  </mergeCells>
  <pageMargins left="0.7" right="0.7" top="0.75" bottom="0.75" header="0.3" footer="0.3"/>
  <pageSetup scale="79" fitToHeight="0" orientation="portrait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PRESUPUESTO</vt:lpstr>
      <vt:lpstr>APUS</vt:lpstr>
      <vt:lpstr>MEMORIA CANTIDADES</vt:lpstr>
      <vt:lpstr>FLUJO DE INVERSION </vt:lpstr>
      <vt:lpstr>CRONOGRAMA</vt:lpstr>
      <vt:lpstr>F.M </vt:lpstr>
      <vt:lpstr>DESGLOSE AIU</vt:lpstr>
      <vt:lpstr>APUS!Área_de_impresión</vt:lpstr>
      <vt:lpstr>CRONOGRAMA!Área_de_impresión</vt:lpstr>
      <vt:lpstr>'DESGLOSE AIU'!Área_de_impresión</vt:lpstr>
      <vt:lpstr>'F.M '!Área_de_impresión</vt:lpstr>
      <vt:lpstr>'FLUJO DE INVERSION '!Área_de_impresión</vt:lpstr>
      <vt:lpstr>'MEMORIA CANTIDADES'!Área_de_impresión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Buesaquillo</dc:creator>
  <cp:lastModifiedBy>Jeisson Buesaquillo</cp:lastModifiedBy>
  <cp:lastPrinted>2026-03-09T22:37:18Z</cp:lastPrinted>
  <dcterms:created xsi:type="dcterms:W3CDTF">2015-06-05T18:19:34Z</dcterms:created>
  <dcterms:modified xsi:type="dcterms:W3CDTF">2026-03-17T22:02:29Z</dcterms:modified>
</cp:coreProperties>
</file>