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5" codeName="{643B0D74-A683-FBA9-23B4-8A0AA6E0B6B9}"/>
  <workbookPr codeName="ThisWorkbook" defaultThemeVersion="166925"/>
  <mc:AlternateContent xmlns:mc="http://schemas.openxmlformats.org/markup-compatibility/2006">
    <mc:Choice Requires="x15">
      <x15ac:absPath xmlns:x15ac="http://schemas.microsoft.com/office/spreadsheetml/2010/11/ac" url="/Users/ivaneduardogomezguerrero/Documents/AGENCIAS NACIONAL DE INFRAESTRUCTURA /NUEVO CONTRATO 2026 /CONCURSO DE MERITOS VJ-VEJ-CM-002-2026/CONSOLIDADO INFORME FINANCIERO/"/>
    </mc:Choice>
  </mc:AlternateContent>
  <xr:revisionPtr revIDLastSave="0" documentId="13_ncr:1_{A581B323-61DE-614A-AC70-FC56C0768903}" xr6:coauthVersionLast="47" xr6:coauthVersionMax="47" xr10:uidLastSave="{00000000-0000-0000-0000-000000000000}"/>
  <bookViews>
    <workbookView xWindow="0" yWindow="0" windowWidth="28800" windowHeight="18000" tabRatio="752" activeTab="1" xr2:uid="{1947B34B-C03C-4B1B-B3F1-50EA86E6A08D}"/>
  </bookViews>
  <sheets>
    <sheet name="DATOS INICIALES" sheetId="2" r:id="rId1"/>
    <sheet name="EVALUACION" sheetId="1" r:id="rId2"/>
    <sheet name="Hoja1" sheetId="6" state="hidden" r:id="rId3"/>
  </sheets>
  <externalReferences>
    <externalReference r:id="rId4"/>
    <externalReference r:id="rId5"/>
    <externalReference r:id="rId6"/>
  </externalReferences>
  <definedNames>
    <definedName name="_xlnm.Print_Area" localSheetId="1">EVALUACION!$D$1:$AV$14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E164" i="1" l="1"/>
  <c r="AB164" i="1"/>
  <c r="S164" i="1"/>
  <c r="R164" i="1"/>
  <c r="T164" i="1" s="1"/>
  <c r="AE163" i="1"/>
  <c r="AB163" i="1"/>
  <c r="S163" i="1"/>
  <c r="R163" i="1"/>
  <c r="T163" i="1" s="1"/>
  <c r="AE162" i="1"/>
  <c r="AB162" i="1"/>
  <c r="S162" i="1"/>
  <c r="R162" i="1"/>
  <c r="T162" i="1" s="1"/>
  <c r="D162" i="1"/>
  <c r="D163" i="1" s="1"/>
  <c r="D164" i="1" s="1"/>
  <c r="AE161" i="1"/>
  <c r="AG161" i="1" s="1"/>
  <c r="AB161" i="1"/>
  <c r="AD161" i="1" s="1"/>
  <c r="AA161" i="1"/>
  <c r="AL161" i="1" s="1"/>
  <c r="AM161" i="1" s="1"/>
  <c r="Z161" i="1"/>
  <c r="Y161" i="1"/>
  <c r="X161" i="1"/>
  <c r="AJ161" i="1" s="1"/>
  <c r="AK161" i="1" s="1"/>
  <c r="W161" i="1"/>
  <c r="V161" i="1"/>
  <c r="U161" i="1"/>
  <c r="S161" i="1"/>
  <c r="R161" i="1"/>
  <c r="M161" i="1"/>
  <c r="N161" i="1" s="1"/>
  <c r="L161" i="1"/>
  <c r="J161" i="1"/>
  <c r="G161" i="1"/>
  <c r="F161" i="1"/>
  <c r="E161" i="1"/>
  <c r="AH161" i="1" s="1"/>
  <c r="AI161" i="1" s="1"/>
  <c r="AE160" i="1"/>
  <c r="AB160" i="1"/>
  <c r="S160" i="1"/>
  <c r="R160" i="1"/>
  <c r="T160" i="1" s="1"/>
  <c r="AE159" i="1"/>
  <c r="AB159" i="1"/>
  <c r="S159" i="1"/>
  <c r="R159" i="1"/>
  <c r="T159" i="1" s="1"/>
  <c r="D159" i="1"/>
  <c r="D160" i="1" s="1"/>
  <c r="AE158" i="1"/>
  <c r="AG158" i="1" s="1"/>
  <c r="AB158" i="1"/>
  <c r="AD158" i="1" s="1"/>
  <c r="AA158" i="1"/>
  <c r="AL158" i="1" s="1"/>
  <c r="AM158" i="1" s="1"/>
  <c r="Z158" i="1"/>
  <c r="Y158" i="1"/>
  <c r="X158" i="1"/>
  <c r="AJ158" i="1" s="1"/>
  <c r="AK158" i="1" s="1"/>
  <c r="W158" i="1"/>
  <c r="V158" i="1"/>
  <c r="U158" i="1"/>
  <c r="S158" i="1"/>
  <c r="R158" i="1"/>
  <c r="T158" i="1" s="1"/>
  <c r="L158" i="1"/>
  <c r="J158" i="1"/>
  <c r="O158" i="1" s="1"/>
  <c r="G158" i="1"/>
  <c r="F158" i="1"/>
  <c r="E158" i="1"/>
  <c r="AH158" i="1" s="1"/>
  <c r="AI158" i="1" s="1"/>
  <c r="AE157" i="1"/>
  <c r="AB157" i="1"/>
  <c r="S157" i="1"/>
  <c r="R157" i="1"/>
  <c r="AE156" i="1"/>
  <c r="AB156" i="1"/>
  <c r="S156" i="1"/>
  <c r="R156" i="1"/>
  <c r="T156" i="1" s="1"/>
  <c r="D156" i="1"/>
  <c r="D157" i="1" s="1"/>
  <c r="AE155" i="1"/>
  <c r="AG155" i="1" s="1"/>
  <c r="AB155" i="1"/>
  <c r="AD155" i="1" s="1"/>
  <c r="AA155" i="1"/>
  <c r="AL155" i="1" s="1"/>
  <c r="AM155" i="1" s="1"/>
  <c r="Z155" i="1"/>
  <c r="Y155" i="1"/>
  <c r="X155" i="1"/>
  <c r="AJ155" i="1" s="1"/>
  <c r="AK155" i="1" s="1"/>
  <c r="W155" i="1"/>
  <c r="V155" i="1"/>
  <c r="U155" i="1"/>
  <c r="S155" i="1"/>
  <c r="M155" i="1"/>
  <c r="N155" i="1" s="1"/>
  <c r="L155" i="1"/>
  <c r="J155" i="1"/>
  <c r="G155" i="1"/>
  <c r="F155" i="1"/>
  <c r="E155" i="1"/>
  <c r="AH155" i="1" s="1"/>
  <c r="AI155" i="1" s="1"/>
  <c r="AE154" i="1"/>
  <c r="AB154" i="1"/>
  <c r="S154" i="1"/>
  <c r="R154" i="1"/>
  <c r="T154" i="1" s="1"/>
  <c r="AE153" i="1"/>
  <c r="AB153" i="1"/>
  <c r="S153" i="1"/>
  <c r="S152" i="1" s="1"/>
  <c r="T152" i="1" s="1"/>
  <c r="R153" i="1"/>
  <c r="D153" i="1"/>
  <c r="D154" i="1" s="1"/>
  <c r="AE152" i="1"/>
  <c r="AG152" i="1" s="1"/>
  <c r="AB152" i="1"/>
  <c r="AD152" i="1" s="1"/>
  <c r="AA152" i="1"/>
  <c r="AL152" i="1" s="1"/>
  <c r="AM152" i="1" s="1"/>
  <c r="Z152" i="1"/>
  <c r="Y152" i="1"/>
  <c r="X152" i="1"/>
  <c r="AJ152" i="1" s="1"/>
  <c r="AK152" i="1" s="1"/>
  <c r="W152" i="1"/>
  <c r="V152" i="1"/>
  <c r="U152" i="1"/>
  <c r="R152" i="1"/>
  <c r="M152" i="1"/>
  <c r="N152" i="1" s="1"/>
  <c r="L152" i="1"/>
  <c r="J152" i="1"/>
  <c r="G152" i="1"/>
  <c r="F152" i="1"/>
  <c r="E152" i="1"/>
  <c r="AH152" i="1" s="1"/>
  <c r="AI152" i="1" s="1"/>
  <c r="AE151" i="1"/>
  <c r="AB151" i="1"/>
  <c r="S151" i="1"/>
  <c r="R151" i="1"/>
  <c r="T151" i="1" s="1"/>
  <c r="AE150" i="1"/>
  <c r="AB150" i="1"/>
  <c r="S150" i="1"/>
  <c r="R150" i="1"/>
  <c r="T150" i="1" s="1"/>
  <c r="AE149" i="1"/>
  <c r="AE147" i="1" s="1"/>
  <c r="AG147" i="1" s="1"/>
  <c r="AB149" i="1"/>
  <c r="AB147" i="1" s="1"/>
  <c r="AD147" i="1" s="1"/>
  <c r="S149" i="1"/>
  <c r="R149" i="1"/>
  <c r="AE148" i="1"/>
  <c r="AB148" i="1"/>
  <c r="S148" i="1"/>
  <c r="R148" i="1"/>
  <c r="T148" i="1" s="1"/>
  <c r="D148" i="1"/>
  <c r="D149" i="1" s="1"/>
  <c r="D150" i="1" s="1"/>
  <c r="D151" i="1" s="1"/>
  <c r="AA147" i="1"/>
  <c r="AL147" i="1" s="1"/>
  <c r="AM147" i="1" s="1"/>
  <c r="Z147" i="1"/>
  <c r="Y147" i="1"/>
  <c r="X147" i="1"/>
  <c r="AJ147" i="1" s="1"/>
  <c r="AK147" i="1" s="1"/>
  <c r="W147" i="1"/>
  <c r="V147" i="1"/>
  <c r="U147" i="1"/>
  <c r="M147" i="1"/>
  <c r="N147" i="1" s="1"/>
  <c r="L147" i="1"/>
  <c r="J147" i="1"/>
  <c r="O147" i="1" s="1"/>
  <c r="G147" i="1"/>
  <c r="F147" i="1"/>
  <c r="E147" i="1"/>
  <c r="AH147" i="1" s="1"/>
  <c r="AI147" i="1" s="1"/>
  <c r="AE146" i="1"/>
  <c r="AB146" i="1"/>
  <c r="S146" i="1"/>
  <c r="R146" i="1"/>
  <c r="T146" i="1" s="1"/>
  <c r="AE145" i="1"/>
  <c r="AB145" i="1"/>
  <c r="S145" i="1"/>
  <c r="R145" i="1"/>
  <c r="T145" i="1" s="1"/>
  <c r="AE144" i="1"/>
  <c r="AB144" i="1"/>
  <c r="S144" i="1"/>
  <c r="R144" i="1"/>
  <c r="T144" i="1" s="1"/>
  <c r="D144" i="1"/>
  <c r="D145" i="1" s="1"/>
  <c r="D146" i="1" s="1"/>
  <c r="AE143" i="1"/>
  <c r="AG143" i="1" s="1"/>
  <c r="AB143" i="1"/>
  <c r="AD143" i="1" s="1"/>
  <c r="AA143" i="1"/>
  <c r="AL143" i="1" s="1"/>
  <c r="AM143" i="1" s="1"/>
  <c r="Z143" i="1"/>
  <c r="Y143" i="1"/>
  <c r="X143" i="1"/>
  <c r="AJ143" i="1" s="1"/>
  <c r="AK143" i="1" s="1"/>
  <c r="W143" i="1"/>
  <c r="V143" i="1"/>
  <c r="U143" i="1"/>
  <c r="S143" i="1"/>
  <c r="R143" i="1"/>
  <c r="T143" i="1" s="1"/>
  <c r="M143" i="1"/>
  <c r="N143" i="1" s="1"/>
  <c r="L143" i="1"/>
  <c r="J143" i="1"/>
  <c r="O143" i="1" s="1"/>
  <c r="G143" i="1"/>
  <c r="F143" i="1"/>
  <c r="E143" i="1"/>
  <c r="AH143" i="1" s="1"/>
  <c r="AI143" i="1" s="1"/>
  <c r="AE142" i="1"/>
  <c r="AB142" i="1"/>
  <c r="S142" i="1"/>
  <c r="R142" i="1"/>
  <c r="T142" i="1" s="1"/>
  <c r="AE141" i="1"/>
  <c r="AB141" i="1"/>
  <c r="S141" i="1"/>
  <c r="R141" i="1"/>
  <c r="T141" i="1" s="1"/>
  <c r="AE140" i="1"/>
  <c r="AB140" i="1"/>
  <c r="S140" i="1"/>
  <c r="R140" i="1"/>
  <c r="T140" i="1" s="1"/>
  <c r="D140" i="1"/>
  <c r="D141" i="1" s="1"/>
  <c r="D142" i="1" s="1"/>
  <c r="AE139" i="1"/>
  <c r="AG139" i="1" s="1"/>
  <c r="AB139" i="1"/>
  <c r="AD139" i="1" s="1"/>
  <c r="AA139" i="1"/>
  <c r="AL139" i="1" s="1"/>
  <c r="AM139" i="1" s="1"/>
  <c r="Z139" i="1"/>
  <c r="Y139" i="1"/>
  <c r="X139" i="1"/>
  <c r="AJ139" i="1" s="1"/>
  <c r="AK139" i="1" s="1"/>
  <c r="W139" i="1"/>
  <c r="V139" i="1"/>
  <c r="U139" i="1"/>
  <c r="S139" i="1"/>
  <c r="R139" i="1"/>
  <c r="M139" i="1"/>
  <c r="N139" i="1" s="1"/>
  <c r="L139" i="1"/>
  <c r="J139" i="1"/>
  <c r="G139" i="1"/>
  <c r="F139" i="1"/>
  <c r="E139" i="1"/>
  <c r="AH139" i="1" s="1"/>
  <c r="AI139" i="1" s="1"/>
  <c r="AE138" i="1"/>
  <c r="AB138" i="1"/>
  <c r="S138" i="1"/>
  <c r="R138" i="1"/>
  <c r="T138" i="1" s="1"/>
  <c r="AE137" i="1"/>
  <c r="AB137" i="1"/>
  <c r="S137" i="1"/>
  <c r="R137" i="1"/>
  <c r="T137" i="1" s="1"/>
  <c r="AE136" i="1"/>
  <c r="AB136" i="1"/>
  <c r="S136" i="1"/>
  <c r="R136" i="1"/>
  <c r="T136" i="1" s="1"/>
  <c r="D136" i="1"/>
  <c r="D137" i="1" s="1"/>
  <c r="D138" i="1" s="1"/>
  <c r="AE135" i="1"/>
  <c r="AG135" i="1" s="1"/>
  <c r="AB135" i="1"/>
  <c r="AD135" i="1" s="1"/>
  <c r="AA135" i="1"/>
  <c r="AL135" i="1" s="1"/>
  <c r="AM135" i="1" s="1"/>
  <c r="Z135" i="1"/>
  <c r="Y135" i="1"/>
  <c r="X135" i="1"/>
  <c r="AJ135" i="1" s="1"/>
  <c r="AK135" i="1" s="1"/>
  <c r="W135" i="1"/>
  <c r="V135" i="1"/>
  <c r="U135" i="1"/>
  <c r="S135" i="1"/>
  <c r="R135" i="1"/>
  <c r="M135" i="1"/>
  <c r="N135" i="1" s="1"/>
  <c r="L135" i="1"/>
  <c r="J135" i="1"/>
  <c r="G135" i="1"/>
  <c r="F135" i="1"/>
  <c r="E135" i="1"/>
  <c r="AH135" i="1" s="1"/>
  <c r="AI135" i="1" s="1"/>
  <c r="AE134" i="1"/>
  <c r="AB134" i="1"/>
  <c r="S134" i="1"/>
  <c r="R134" i="1"/>
  <c r="D134" i="1"/>
  <c r="AE133" i="1"/>
  <c r="AE132" i="1" s="1"/>
  <c r="AG132" i="1" s="1"/>
  <c r="AB133" i="1"/>
  <c r="AB132" i="1" s="1"/>
  <c r="AD132" i="1" s="1"/>
  <c r="S133" i="1"/>
  <c r="R133" i="1"/>
  <c r="T133" i="1" s="1"/>
  <c r="D133" i="1"/>
  <c r="AA132" i="1"/>
  <c r="AL132" i="1" s="1"/>
  <c r="AM132" i="1" s="1"/>
  <c r="Z132" i="1"/>
  <c r="Y132" i="1"/>
  <c r="X132" i="1"/>
  <c r="AJ132" i="1" s="1"/>
  <c r="AK132" i="1" s="1"/>
  <c r="W132" i="1"/>
  <c r="V132" i="1"/>
  <c r="U132" i="1"/>
  <c r="M132" i="1"/>
  <c r="N132" i="1" s="1"/>
  <c r="L132" i="1"/>
  <c r="J132" i="1"/>
  <c r="G132" i="1"/>
  <c r="F132" i="1"/>
  <c r="E132" i="1"/>
  <c r="AH132" i="1" s="1"/>
  <c r="AI132" i="1" s="1"/>
  <c r="AE131" i="1"/>
  <c r="AB131" i="1"/>
  <c r="S131" i="1"/>
  <c r="R131" i="1"/>
  <c r="T131" i="1" s="1"/>
  <c r="AE130" i="1"/>
  <c r="AB130" i="1"/>
  <c r="S130" i="1"/>
  <c r="R130" i="1"/>
  <c r="T130" i="1" s="1"/>
  <c r="AE129" i="1"/>
  <c r="AB129" i="1"/>
  <c r="S129" i="1"/>
  <c r="R129" i="1"/>
  <c r="T129" i="1" s="1"/>
  <c r="D129" i="1"/>
  <c r="D130" i="1" s="1"/>
  <c r="D131" i="1" s="1"/>
  <c r="AE128" i="1"/>
  <c r="AG128" i="1" s="1"/>
  <c r="AB128" i="1"/>
  <c r="AD128" i="1" s="1"/>
  <c r="AA128" i="1"/>
  <c r="AL128" i="1" s="1"/>
  <c r="AM128" i="1" s="1"/>
  <c r="Z128" i="1"/>
  <c r="Y128" i="1"/>
  <c r="X128" i="1"/>
  <c r="AJ128" i="1" s="1"/>
  <c r="AK128" i="1" s="1"/>
  <c r="W128" i="1"/>
  <c r="V128" i="1"/>
  <c r="U128" i="1"/>
  <c r="S128" i="1"/>
  <c r="R128" i="1"/>
  <c r="M128" i="1"/>
  <c r="N128" i="1" s="1"/>
  <c r="L128" i="1"/>
  <c r="J128" i="1"/>
  <c r="O128" i="1" s="1"/>
  <c r="G128" i="1"/>
  <c r="F128" i="1"/>
  <c r="E128" i="1"/>
  <c r="AH128" i="1" s="1"/>
  <c r="AI128" i="1" s="1"/>
  <c r="AE127" i="1"/>
  <c r="AB127" i="1"/>
  <c r="S127" i="1"/>
  <c r="R127" i="1"/>
  <c r="T127" i="1" s="1"/>
  <c r="AE126" i="1"/>
  <c r="AB126" i="1"/>
  <c r="S126" i="1"/>
  <c r="R126" i="1"/>
  <c r="T126" i="1" s="1"/>
  <c r="AE125" i="1"/>
  <c r="AB125" i="1"/>
  <c r="S125" i="1"/>
  <c r="R125" i="1"/>
  <c r="T125" i="1" s="1"/>
  <c r="D125" i="1"/>
  <c r="D126" i="1" s="1"/>
  <c r="D127" i="1" s="1"/>
  <c r="AE124" i="1"/>
  <c r="AG124" i="1" s="1"/>
  <c r="AB124" i="1"/>
  <c r="AD124" i="1" s="1"/>
  <c r="AA124" i="1"/>
  <c r="AL124" i="1" s="1"/>
  <c r="AM124" i="1" s="1"/>
  <c r="Z124" i="1"/>
  <c r="Y124" i="1"/>
  <c r="X124" i="1"/>
  <c r="AJ124" i="1" s="1"/>
  <c r="AK124" i="1" s="1"/>
  <c r="W124" i="1"/>
  <c r="V124" i="1"/>
  <c r="U124" i="1"/>
  <c r="S124" i="1"/>
  <c r="R124" i="1"/>
  <c r="M124" i="1"/>
  <c r="N124" i="1" s="1"/>
  <c r="L124" i="1"/>
  <c r="J124" i="1"/>
  <c r="G124" i="1"/>
  <c r="F124" i="1"/>
  <c r="E124" i="1"/>
  <c r="AH124" i="1" s="1"/>
  <c r="AI124" i="1" s="1"/>
  <c r="I50" i="2"/>
  <c r="I49" i="2"/>
  <c r="I48" i="2"/>
  <c r="I47" i="2"/>
  <c r="I46" i="2"/>
  <c r="I45" i="2"/>
  <c r="I44" i="2"/>
  <c r="I43" i="2"/>
  <c r="I42" i="2"/>
  <c r="I41" i="2"/>
  <c r="I40" i="2"/>
  <c r="E50" i="2"/>
  <c r="AE123" i="1"/>
  <c r="AB123" i="1"/>
  <c r="S123" i="1"/>
  <c r="R123" i="1"/>
  <c r="T123" i="1" s="1"/>
  <c r="AE122" i="1"/>
  <c r="AB122" i="1"/>
  <c r="S122" i="1"/>
  <c r="R122" i="1"/>
  <c r="T122" i="1" s="1"/>
  <c r="AE121" i="1"/>
  <c r="AB121" i="1"/>
  <c r="S121" i="1"/>
  <c r="R121" i="1"/>
  <c r="T121" i="1" s="1"/>
  <c r="D121" i="1"/>
  <c r="D122" i="1" s="1"/>
  <c r="D123" i="1" s="1"/>
  <c r="AE120" i="1"/>
  <c r="AG120" i="1" s="1"/>
  <c r="AD120" i="1"/>
  <c r="AB120" i="1"/>
  <c r="AA120" i="1"/>
  <c r="AL120" i="1" s="1"/>
  <c r="AM120" i="1" s="1"/>
  <c r="Z120" i="1"/>
  <c r="Y120" i="1"/>
  <c r="X120" i="1"/>
  <c r="AJ120" i="1" s="1"/>
  <c r="AK120" i="1" s="1"/>
  <c r="W120" i="1"/>
  <c r="V120" i="1"/>
  <c r="U120" i="1"/>
  <c r="S120" i="1"/>
  <c r="R120" i="1"/>
  <c r="T120" i="1" s="1"/>
  <c r="M120" i="1"/>
  <c r="N120" i="1" s="1"/>
  <c r="L120" i="1"/>
  <c r="J120" i="1"/>
  <c r="G120" i="1"/>
  <c r="F120" i="1"/>
  <c r="E120" i="1"/>
  <c r="AH120" i="1" s="1"/>
  <c r="AI120" i="1" s="1"/>
  <c r="AE119" i="1"/>
  <c r="AB119" i="1"/>
  <c r="S119" i="1"/>
  <c r="R119" i="1"/>
  <c r="T119" i="1" s="1"/>
  <c r="AE118" i="1"/>
  <c r="AB118" i="1"/>
  <c r="S118" i="1"/>
  <c r="R118" i="1"/>
  <c r="T118" i="1" s="1"/>
  <c r="AE117" i="1"/>
  <c r="AB117" i="1"/>
  <c r="S117" i="1"/>
  <c r="R117" i="1"/>
  <c r="T117" i="1" s="1"/>
  <c r="D117" i="1"/>
  <c r="D118" i="1" s="1"/>
  <c r="D119" i="1" s="1"/>
  <c r="AE116" i="1"/>
  <c r="AG116" i="1" s="1"/>
  <c r="AB116" i="1"/>
  <c r="AD116" i="1" s="1"/>
  <c r="AA116" i="1"/>
  <c r="AL116" i="1" s="1"/>
  <c r="AM116" i="1" s="1"/>
  <c r="Z116" i="1"/>
  <c r="Y116" i="1"/>
  <c r="X116" i="1"/>
  <c r="AJ116" i="1" s="1"/>
  <c r="AK116" i="1" s="1"/>
  <c r="W116" i="1"/>
  <c r="V116" i="1"/>
  <c r="U116" i="1"/>
  <c r="S116" i="1"/>
  <c r="R116" i="1"/>
  <c r="T116" i="1" s="1"/>
  <c r="M116" i="1"/>
  <c r="N116" i="1" s="1"/>
  <c r="L116" i="1"/>
  <c r="J116" i="1"/>
  <c r="G116" i="1"/>
  <c r="F116" i="1"/>
  <c r="E116" i="1"/>
  <c r="AH116" i="1" s="1"/>
  <c r="AI116" i="1" s="1"/>
  <c r="AE115" i="1"/>
  <c r="AB115" i="1"/>
  <c r="S115" i="1"/>
  <c r="R115" i="1"/>
  <c r="T115" i="1" s="1"/>
  <c r="AE114" i="1"/>
  <c r="AB114" i="1"/>
  <c r="S114" i="1"/>
  <c r="R114" i="1"/>
  <c r="T114" i="1" s="1"/>
  <c r="AE113" i="1"/>
  <c r="AB113" i="1"/>
  <c r="S113" i="1"/>
  <c r="R113" i="1"/>
  <c r="T113" i="1" s="1"/>
  <c r="D113" i="1"/>
  <c r="D114" i="1" s="1"/>
  <c r="D115" i="1" s="1"/>
  <c r="AE112" i="1"/>
  <c r="AG112" i="1" s="1"/>
  <c r="AB112" i="1"/>
  <c r="AD112" i="1" s="1"/>
  <c r="AA112" i="1"/>
  <c r="AL112" i="1" s="1"/>
  <c r="AM112" i="1" s="1"/>
  <c r="Z112" i="1"/>
  <c r="Y112" i="1"/>
  <c r="X112" i="1"/>
  <c r="AJ112" i="1" s="1"/>
  <c r="AK112" i="1" s="1"/>
  <c r="W112" i="1"/>
  <c r="V112" i="1"/>
  <c r="U112" i="1"/>
  <c r="S112" i="1"/>
  <c r="R112" i="1"/>
  <c r="T112" i="1" s="1"/>
  <c r="M112" i="1"/>
  <c r="N112" i="1" s="1"/>
  <c r="L112" i="1"/>
  <c r="J112" i="1"/>
  <c r="O112" i="1" s="1"/>
  <c r="G112" i="1"/>
  <c r="F112" i="1"/>
  <c r="E112" i="1"/>
  <c r="AH112" i="1" s="1"/>
  <c r="AI112" i="1" s="1"/>
  <c r="AE111" i="1"/>
  <c r="AB111" i="1"/>
  <c r="S111" i="1"/>
  <c r="R111" i="1"/>
  <c r="T111" i="1" s="1"/>
  <c r="AE110" i="1"/>
  <c r="AE109" i="1" s="1"/>
  <c r="AG109" i="1" s="1"/>
  <c r="AB110" i="1"/>
  <c r="AB109" i="1" s="1"/>
  <c r="AD109" i="1" s="1"/>
  <c r="S110" i="1"/>
  <c r="S109" i="1" s="1"/>
  <c r="R110" i="1"/>
  <c r="D110" i="1"/>
  <c r="D111" i="1" s="1"/>
  <c r="AQ109" i="1"/>
  <c r="AR109" i="1" s="1"/>
  <c r="AA109" i="1"/>
  <c r="AL109" i="1" s="1"/>
  <c r="AM109" i="1" s="1"/>
  <c r="Z109" i="1"/>
  <c r="AO109" i="1" s="1"/>
  <c r="AP109" i="1" s="1"/>
  <c r="AS109" i="1" s="1"/>
  <c r="Y109" i="1"/>
  <c r="X109" i="1"/>
  <c r="AJ109" i="1" s="1"/>
  <c r="AK109" i="1" s="1"/>
  <c r="W109" i="1"/>
  <c r="V109" i="1"/>
  <c r="U109" i="1"/>
  <c r="M109" i="1"/>
  <c r="N109" i="1" s="1"/>
  <c r="L109" i="1"/>
  <c r="J109" i="1"/>
  <c r="O109" i="1" s="1"/>
  <c r="G109" i="1"/>
  <c r="F109" i="1"/>
  <c r="E109" i="1"/>
  <c r="AH109" i="1" s="1"/>
  <c r="AI109" i="1" s="1"/>
  <c r="AE108" i="1"/>
  <c r="AB108" i="1"/>
  <c r="S108" i="1"/>
  <c r="R108" i="1"/>
  <c r="T108" i="1" s="1"/>
  <c r="AE107" i="1"/>
  <c r="AB107" i="1"/>
  <c r="S107" i="1"/>
  <c r="R107" i="1"/>
  <c r="T107" i="1" s="1"/>
  <c r="D107" i="1"/>
  <c r="D108" i="1" s="1"/>
  <c r="AE106" i="1"/>
  <c r="AG106" i="1" s="1"/>
  <c r="AB106" i="1"/>
  <c r="AD106" i="1" s="1"/>
  <c r="AA106" i="1"/>
  <c r="AL106" i="1" s="1"/>
  <c r="AM106" i="1" s="1"/>
  <c r="Z106" i="1"/>
  <c r="Y106" i="1"/>
  <c r="X106" i="1"/>
  <c r="AJ106" i="1" s="1"/>
  <c r="AK106" i="1" s="1"/>
  <c r="W106" i="1"/>
  <c r="V106" i="1"/>
  <c r="U106" i="1"/>
  <c r="S106" i="1"/>
  <c r="R106" i="1"/>
  <c r="T106" i="1" s="1"/>
  <c r="M106" i="1"/>
  <c r="N106" i="1" s="1"/>
  <c r="L106" i="1"/>
  <c r="J106" i="1"/>
  <c r="O106" i="1" s="1"/>
  <c r="G106" i="1"/>
  <c r="F106" i="1"/>
  <c r="E106" i="1"/>
  <c r="AH106" i="1" s="1"/>
  <c r="AI106" i="1" s="1"/>
  <c r="AE105" i="1"/>
  <c r="AB105" i="1"/>
  <c r="S105" i="1"/>
  <c r="R105" i="1"/>
  <c r="T105" i="1" s="1"/>
  <c r="AE104" i="1"/>
  <c r="AB104" i="1"/>
  <c r="S104" i="1"/>
  <c r="R104" i="1"/>
  <c r="T104" i="1" s="1"/>
  <c r="D104" i="1"/>
  <c r="D105" i="1" s="1"/>
  <c r="AE103" i="1"/>
  <c r="AG103" i="1" s="1"/>
  <c r="AB103" i="1"/>
  <c r="AD103" i="1" s="1"/>
  <c r="AA103" i="1"/>
  <c r="AL103" i="1" s="1"/>
  <c r="AM103" i="1" s="1"/>
  <c r="Z103" i="1"/>
  <c r="Y103" i="1"/>
  <c r="X103" i="1"/>
  <c r="AJ103" i="1" s="1"/>
  <c r="AK103" i="1" s="1"/>
  <c r="W103" i="1"/>
  <c r="V103" i="1"/>
  <c r="U103" i="1"/>
  <c r="S103" i="1"/>
  <c r="R103" i="1"/>
  <c r="T103" i="1" s="1"/>
  <c r="M103" i="1"/>
  <c r="N103" i="1" s="1"/>
  <c r="L103" i="1"/>
  <c r="J103" i="1"/>
  <c r="O103" i="1" s="1"/>
  <c r="G103" i="1"/>
  <c r="F103" i="1"/>
  <c r="E103" i="1"/>
  <c r="AH103" i="1" s="1"/>
  <c r="AI103" i="1" s="1"/>
  <c r="AE102" i="1"/>
  <c r="AB102" i="1"/>
  <c r="S102" i="1"/>
  <c r="R102" i="1"/>
  <c r="T102" i="1" s="1"/>
  <c r="AE101" i="1"/>
  <c r="AB101" i="1"/>
  <c r="S101" i="1"/>
  <c r="R101" i="1"/>
  <c r="T101" i="1" s="1"/>
  <c r="AE100" i="1"/>
  <c r="AB100" i="1"/>
  <c r="S100" i="1"/>
  <c r="R100" i="1"/>
  <c r="T100" i="1" s="1"/>
  <c r="D100" i="1"/>
  <c r="D101" i="1" s="1"/>
  <c r="D102" i="1" s="1"/>
  <c r="AE99" i="1"/>
  <c r="AG99" i="1" s="1"/>
  <c r="AB99" i="1"/>
  <c r="AD99" i="1" s="1"/>
  <c r="AA99" i="1"/>
  <c r="AL99" i="1" s="1"/>
  <c r="AM99" i="1" s="1"/>
  <c r="Z99" i="1"/>
  <c r="Y99" i="1"/>
  <c r="X99" i="1"/>
  <c r="AJ99" i="1" s="1"/>
  <c r="AK99" i="1" s="1"/>
  <c r="W99" i="1"/>
  <c r="V99" i="1"/>
  <c r="U99" i="1"/>
  <c r="S99" i="1"/>
  <c r="R99" i="1"/>
  <c r="T99" i="1" s="1"/>
  <c r="M99" i="1"/>
  <c r="N99" i="1" s="1"/>
  <c r="L99" i="1"/>
  <c r="J99" i="1"/>
  <c r="O99" i="1" s="1"/>
  <c r="G99" i="1"/>
  <c r="F99" i="1"/>
  <c r="E99" i="1"/>
  <c r="AH99" i="1" s="1"/>
  <c r="AI99" i="1" s="1"/>
  <c r="AE98" i="1"/>
  <c r="AB98" i="1"/>
  <c r="S98" i="1"/>
  <c r="R98" i="1"/>
  <c r="T98" i="1" s="1"/>
  <c r="AE97" i="1"/>
  <c r="AB97" i="1"/>
  <c r="S97" i="1"/>
  <c r="R97" i="1"/>
  <c r="T97" i="1" s="1"/>
  <c r="D97" i="1"/>
  <c r="D98" i="1" s="1"/>
  <c r="AE96" i="1"/>
  <c r="AG96" i="1" s="1"/>
  <c r="AB96" i="1"/>
  <c r="AD96" i="1" s="1"/>
  <c r="AA96" i="1"/>
  <c r="AL96" i="1" s="1"/>
  <c r="AM96" i="1" s="1"/>
  <c r="Z96" i="1"/>
  <c r="Y96" i="1"/>
  <c r="X96" i="1"/>
  <c r="AJ96" i="1" s="1"/>
  <c r="AK96" i="1" s="1"/>
  <c r="W96" i="1"/>
  <c r="V96" i="1"/>
  <c r="U96" i="1"/>
  <c r="S96" i="1"/>
  <c r="R96" i="1"/>
  <c r="T96" i="1" s="1"/>
  <c r="M96" i="1"/>
  <c r="N96" i="1" s="1"/>
  <c r="L96" i="1"/>
  <c r="J96" i="1"/>
  <c r="O96" i="1" s="1"/>
  <c r="G96" i="1"/>
  <c r="F96" i="1"/>
  <c r="E96" i="1"/>
  <c r="AH96" i="1" s="1"/>
  <c r="AI96" i="1" s="1"/>
  <c r="AE95" i="1"/>
  <c r="AB95" i="1"/>
  <c r="S95" i="1"/>
  <c r="R95" i="1"/>
  <c r="T95" i="1" s="1"/>
  <c r="AE94" i="1"/>
  <c r="AB94" i="1"/>
  <c r="S94" i="1"/>
  <c r="R94" i="1"/>
  <c r="T94" i="1" s="1"/>
  <c r="AE93" i="1"/>
  <c r="AB93" i="1"/>
  <c r="S93" i="1"/>
  <c r="R93" i="1"/>
  <c r="T93" i="1" s="1"/>
  <c r="D93" i="1"/>
  <c r="D94" i="1" s="1"/>
  <c r="D95" i="1" s="1"/>
  <c r="AE92" i="1"/>
  <c r="AG92" i="1" s="1"/>
  <c r="AB92" i="1"/>
  <c r="AD92" i="1" s="1"/>
  <c r="AA92" i="1"/>
  <c r="AL92" i="1" s="1"/>
  <c r="AM92" i="1" s="1"/>
  <c r="Z92" i="1"/>
  <c r="Y92" i="1"/>
  <c r="X92" i="1"/>
  <c r="AJ92" i="1" s="1"/>
  <c r="AK92" i="1" s="1"/>
  <c r="W92" i="1"/>
  <c r="V92" i="1"/>
  <c r="U92" i="1"/>
  <c r="S92" i="1"/>
  <c r="R92" i="1"/>
  <c r="T92" i="1" s="1"/>
  <c r="M92" i="1"/>
  <c r="N92" i="1" s="1"/>
  <c r="L92" i="1"/>
  <c r="J92" i="1"/>
  <c r="O92" i="1" s="1"/>
  <c r="G92" i="1"/>
  <c r="F92" i="1"/>
  <c r="E92" i="1"/>
  <c r="AH92" i="1" s="1"/>
  <c r="AI92" i="1" s="1"/>
  <c r="AE91" i="1"/>
  <c r="AB91" i="1"/>
  <c r="S91" i="1"/>
  <c r="R91" i="1"/>
  <c r="T91" i="1" s="1"/>
  <c r="AE90" i="1"/>
  <c r="AB90" i="1"/>
  <c r="S90" i="1"/>
  <c r="R90" i="1"/>
  <c r="T90" i="1" s="1"/>
  <c r="AE89" i="1"/>
  <c r="AB89" i="1"/>
  <c r="S89" i="1"/>
  <c r="R89" i="1"/>
  <c r="T89" i="1" s="1"/>
  <c r="D89" i="1"/>
  <c r="D90" i="1" s="1"/>
  <c r="D91" i="1" s="1"/>
  <c r="AE88" i="1"/>
  <c r="AG88" i="1" s="1"/>
  <c r="AB88" i="1"/>
  <c r="AD88" i="1" s="1"/>
  <c r="AA88" i="1"/>
  <c r="AL88" i="1" s="1"/>
  <c r="AM88" i="1" s="1"/>
  <c r="Z88" i="1"/>
  <c r="Y88" i="1"/>
  <c r="X88" i="1"/>
  <c r="AJ88" i="1" s="1"/>
  <c r="AK88" i="1" s="1"/>
  <c r="W88" i="1"/>
  <c r="V88" i="1"/>
  <c r="U88" i="1"/>
  <c r="S88" i="1"/>
  <c r="R88" i="1"/>
  <c r="T88" i="1" s="1"/>
  <c r="M88" i="1"/>
  <c r="N88" i="1" s="1"/>
  <c r="L88" i="1"/>
  <c r="J88" i="1"/>
  <c r="O88" i="1" s="1"/>
  <c r="G88" i="1"/>
  <c r="F88" i="1"/>
  <c r="E88" i="1"/>
  <c r="AH88" i="1" s="1"/>
  <c r="AI88" i="1" s="1"/>
  <c r="I39" i="2"/>
  <c r="I38" i="2"/>
  <c r="I37" i="2"/>
  <c r="I36" i="2"/>
  <c r="I35" i="2"/>
  <c r="I34" i="2"/>
  <c r="I33" i="2"/>
  <c r="I32" i="2"/>
  <c r="I31" i="2"/>
  <c r="I30" i="2"/>
  <c r="AE87" i="1"/>
  <c r="AB87" i="1"/>
  <c r="S87" i="1"/>
  <c r="R87" i="1"/>
  <c r="T87" i="1" s="1"/>
  <c r="AE86" i="1"/>
  <c r="AB86" i="1"/>
  <c r="S86" i="1"/>
  <c r="R86" i="1"/>
  <c r="T86" i="1" s="1"/>
  <c r="AE85" i="1"/>
  <c r="AB85" i="1"/>
  <c r="S85" i="1"/>
  <c r="R85" i="1"/>
  <c r="T85" i="1" s="1"/>
  <c r="D85" i="1"/>
  <c r="D86" i="1" s="1"/>
  <c r="D87" i="1" s="1"/>
  <c r="AE84" i="1"/>
  <c r="AG84" i="1" s="1"/>
  <c r="AB84" i="1"/>
  <c r="AD84" i="1" s="1"/>
  <c r="AA84" i="1"/>
  <c r="AL84" i="1" s="1"/>
  <c r="AM84" i="1" s="1"/>
  <c r="Z84" i="1"/>
  <c r="Y84" i="1"/>
  <c r="X84" i="1"/>
  <c r="AJ84" i="1" s="1"/>
  <c r="AK84" i="1" s="1"/>
  <c r="W84" i="1"/>
  <c r="V84" i="1"/>
  <c r="U84" i="1"/>
  <c r="S84" i="1"/>
  <c r="R84" i="1"/>
  <c r="T84" i="1" s="1"/>
  <c r="M84" i="1"/>
  <c r="N84" i="1" s="1"/>
  <c r="L84" i="1"/>
  <c r="J84" i="1"/>
  <c r="O84" i="1" s="1"/>
  <c r="G84" i="1"/>
  <c r="F84" i="1"/>
  <c r="E84" i="1"/>
  <c r="AH84" i="1" s="1"/>
  <c r="AI84" i="1" s="1"/>
  <c r="AE83" i="1"/>
  <c r="AB83" i="1"/>
  <c r="S83" i="1"/>
  <c r="R83" i="1"/>
  <c r="T83" i="1" s="1"/>
  <c r="D83" i="1"/>
  <c r="AE82" i="1"/>
  <c r="AE81" i="1" s="1"/>
  <c r="AG81" i="1" s="1"/>
  <c r="AB82" i="1"/>
  <c r="AB81" i="1" s="1"/>
  <c r="AD81" i="1" s="1"/>
  <c r="S82" i="1"/>
  <c r="S81" i="1" s="1"/>
  <c r="R82" i="1"/>
  <c r="D82" i="1"/>
  <c r="AQ81" i="1"/>
  <c r="AR81" i="1" s="1"/>
  <c r="AO81" i="1"/>
  <c r="AP81" i="1" s="1"/>
  <c r="AS81" i="1" s="1"/>
  <c r="AL81" i="1"/>
  <c r="AM81" i="1" s="1"/>
  <c r="AJ81" i="1"/>
  <c r="AK81" i="1" s="1"/>
  <c r="AA81" i="1"/>
  <c r="Z81" i="1"/>
  <c r="Y81" i="1"/>
  <c r="X81" i="1"/>
  <c r="W81" i="1"/>
  <c r="V81" i="1"/>
  <c r="U81" i="1"/>
  <c r="M81" i="1"/>
  <c r="N81" i="1" s="1"/>
  <c r="L81" i="1"/>
  <c r="J81" i="1"/>
  <c r="O81" i="1" s="1"/>
  <c r="G81" i="1"/>
  <c r="F81" i="1"/>
  <c r="E81" i="1"/>
  <c r="AH81" i="1" s="1"/>
  <c r="AI81" i="1" s="1"/>
  <c r="AE80" i="1"/>
  <c r="AB80" i="1"/>
  <c r="S80" i="1"/>
  <c r="R80" i="1"/>
  <c r="T80" i="1" s="1"/>
  <c r="AE79" i="1"/>
  <c r="AB79" i="1"/>
  <c r="S79" i="1"/>
  <c r="R79" i="1"/>
  <c r="T79" i="1" s="1"/>
  <c r="AE78" i="1"/>
  <c r="AB78" i="1"/>
  <c r="S78" i="1"/>
  <c r="R78" i="1"/>
  <c r="T78" i="1" s="1"/>
  <c r="D78" i="1"/>
  <c r="D79" i="1" s="1"/>
  <c r="D80" i="1" s="1"/>
  <c r="AE77" i="1"/>
  <c r="AG77" i="1" s="1"/>
  <c r="AB77" i="1"/>
  <c r="AD77" i="1" s="1"/>
  <c r="AA77" i="1"/>
  <c r="AL77" i="1" s="1"/>
  <c r="AM77" i="1" s="1"/>
  <c r="Z77" i="1"/>
  <c r="Y77" i="1"/>
  <c r="X77" i="1"/>
  <c r="AJ77" i="1" s="1"/>
  <c r="AK77" i="1" s="1"/>
  <c r="W77" i="1"/>
  <c r="V77" i="1"/>
  <c r="U77" i="1"/>
  <c r="S77" i="1"/>
  <c r="R77" i="1"/>
  <c r="T77" i="1" s="1"/>
  <c r="M77" i="1"/>
  <c r="N77" i="1" s="1"/>
  <c r="L77" i="1"/>
  <c r="J77" i="1"/>
  <c r="G77" i="1"/>
  <c r="F77" i="1"/>
  <c r="E77" i="1"/>
  <c r="AH77" i="1" s="1"/>
  <c r="AI77" i="1" s="1"/>
  <c r="AE76" i="1"/>
  <c r="AB76" i="1"/>
  <c r="S76" i="1"/>
  <c r="R76" i="1"/>
  <c r="T76" i="1" s="1"/>
  <c r="AE75" i="1"/>
  <c r="AB75" i="1"/>
  <c r="S75" i="1"/>
  <c r="R75" i="1"/>
  <c r="T75" i="1" s="1"/>
  <c r="D75" i="1"/>
  <c r="D76" i="1" s="1"/>
  <c r="AE74" i="1"/>
  <c r="AG74" i="1" s="1"/>
  <c r="AB74" i="1"/>
  <c r="AD74" i="1" s="1"/>
  <c r="AA74" i="1"/>
  <c r="AL74" i="1" s="1"/>
  <c r="AM74" i="1" s="1"/>
  <c r="Z74" i="1"/>
  <c r="Y74" i="1"/>
  <c r="X74" i="1"/>
  <c r="AJ74" i="1" s="1"/>
  <c r="AK74" i="1" s="1"/>
  <c r="W74" i="1"/>
  <c r="V74" i="1"/>
  <c r="U74" i="1"/>
  <c r="S74" i="1"/>
  <c r="R74" i="1"/>
  <c r="T74" i="1" s="1"/>
  <c r="M74" i="1"/>
  <c r="N74" i="1" s="1"/>
  <c r="L74" i="1"/>
  <c r="J74" i="1"/>
  <c r="O74" i="1" s="1"/>
  <c r="G74" i="1"/>
  <c r="F74" i="1"/>
  <c r="E74" i="1"/>
  <c r="AH74" i="1" s="1"/>
  <c r="AI74" i="1" s="1"/>
  <c r="AE73" i="1"/>
  <c r="AB73" i="1"/>
  <c r="S73" i="1"/>
  <c r="S71" i="1" s="1"/>
  <c r="R73" i="1"/>
  <c r="D73" i="1"/>
  <c r="AE72" i="1"/>
  <c r="AE71" i="1" s="1"/>
  <c r="AG71" i="1" s="1"/>
  <c r="AB72" i="1"/>
  <c r="AB71" i="1" s="1"/>
  <c r="AD71" i="1" s="1"/>
  <c r="S72" i="1"/>
  <c r="R72" i="1"/>
  <c r="T72" i="1" s="1"/>
  <c r="D72" i="1"/>
  <c r="AA71" i="1"/>
  <c r="AL71" i="1" s="1"/>
  <c r="AM71" i="1" s="1"/>
  <c r="Z71" i="1"/>
  <c r="Y71" i="1"/>
  <c r="X71" i="1"/>
  <c r="AJ71" i="1" s="1"/>
  <c r="AK71" i="1" s="1"/>
  <c r="W71" i="1"/>
  <c r="V71" i="1"/>
  <c r="U71" i="1"/>
  <c r="M71" i="1"/>
  <c r="N71" i="1" s="1"/>
  <c r="L71" i="1"/>
  <c r="J71" i="1"/>
  <c r="O71" i="1" s="1"/>
  <c r="G71" i="1"/>
  <c r="F71" i="1"/>
  <c r="E71" i="1"/>
  <c r="AH71" i="1" s="1"/>
  <c r="AI71" i="1" s="1"/>
  <c r="AE70" i="1"/>
  <c r="AB70" i="1"/>
  <c r="S70" i="1"/>
  <c r="R70" i="1"/>
  <c r="T70" i="1" s="1"/>
  <c r="AE69" i="1"/>
  <c r="AB69" i="1"/>
  <c r="S69" i="1"/>
  <c r="R69" i="1"/>
  <c r="T69" i="1" s="1"/>
  <c r="D69" i="1"/>
  <c r="D70" i="1" s="1"/>
  <c r="AE68" i="1"/>
  <c r="AG68" i="1" s="1"/>
  <c r="AB68" i="1"/>
  <c r="AD68" i="1" s="1"/>
  <c r="AA68" i="1"/>
  <c r="AL68" i="1" s="1"/>
  <c r="AM68" i="1" s="1"/>
  <c r="Z68" i="1"/>
  <c r="Y68" i="1"/>
  <c r="X68" i="1"/>
  <c r="AJ68" i="1" s="1"/>
  <c r="AK68" i="1" s="1"/>
  <c r="W68" i="1"/>
  <c r="V68" i="1"/>
  <c r="U68" i="1"/>
  <c r="S68" i="1"/>
  <c r="R68" i="1"/>
  <c r="T68" i="1" s="1"/>
  <c r="M68" i="1"/>
  <c r="N68" i="1" s="1"/>
  <c r="L68" i="1"/>
  <c r="J68" i="1"/>
  <c r="O68" i="1" s="1"/>
  <c r="G68" i="1"/>
  <c r="F68" i="1"/>
  <c r="E68" i="1"/>
  <c r="AH68" i="1" s="1"/>
  <c r="AI68" i="1" s="1"/>
  <c r="AE67" i="1"/>
  <c r="AB67" i="1"/>
  <c r="S67" i="1"/>
  <c r="R67" i="1"/>
  <c r="T67" i="1" s="1"/>
  <c r="AE66" i="1"/>
  <c r="AB66" i="1"/>
  <c r="S66" i="1"/>
  <c r="R66" i="1"/>
  <c r="T66" i="1" s="1"/>
  <c r="AE65" i="1"/>
  <c r="AB65" i="1"/>
  <c r="S65" i="1"/>
  <c r="R65" i="1"/>
  <c r="D65" i="1"/>
  <c r="D66" i="1" s="1"/>
  <c r="D67" i="1" s="1"/>
  <c r="AE64" i="1"/>
  <c r="AG64" i="1" s="1"/>
  <c r="AB64" i="1"/>
  <c r="AD64" i="1" s="1"/>
  <c r="AA64" i="1"/>
  <c r="AL64" i="1" s="1"/>
  <c r="AM64" i="1" s="1"/>
  <c r="Z64" i="1"/>
  <c r="Y64" i="1"/>
  <c r="X64" i="1"/>
  <c r="AJ64" i="1" s="1"/>
  <c r="AK64" i="1" s="1"/>
  <c r="W64" i="1"/>
  <c r="V64" i="1"/>
  <c r="U64" i="1"/>
  <c r="S64" i="1"/>
  <c r="M64" i="1"/>
  <c r="N64" i="1" s="1"/>
  <c r="L64" i="1"/>
  <c r="J64" i="1"/>
  <c r="O64" i="1" s="1"/>
  <c r="G64" i="1"/>
  <c r="F64" i="1"/>
  <c r="E64" i="1"/>
  <c r="AH64" i="1" s="1"/>
  <c r="AI64" i="1" s="1"/>
  <c r="AE63" i="1"/>
  <c r="AB63" i="1"/>
  <c r="S63" i="1"/>
  <c r="R63" i="1"/>
  <c r="T63" i="1" s="1"/>
  <c r="AE62" i="1"/>
  <c r="AB62" i="1"/>
  <c r="T62" i="1"/>
  <c r="S62" i="1"/>
  <c r="R62" i="1"/>
  <c r="D62" i="1"/>
  <c r="D63" i="1" s="1"/>
  <c r="AE61" i="1"/>
  <c r="AG61" i="1" s="1"/>
  <c r="AB61" i="1"/>
  <c r="AD61" i="1" s="1"/>
  <c r="AA61" i="1"/>
  <c r="AL61" i="1" s="1"/>
  <c r="AM61" i="1" s="1"/>
  <c r="Z61" i="1"/>
  <c r="Y61" i="1"/>
  <c r="X61" i="1"/>
  <c r="AJ61" i="1" s="1"/>
  <c r="AK61" i="1" s="1"/>
  <c r="W61" i="1"/>
  <c r="V61" i="1"/>
  <c r="U61" i="1"/>
  <c r="S61" i="1"/>
  <c r="R61" i="1"/>
  <c r="T61" i="1" s="1"/>
  <c r="M61" i="1"/>
  <c r="N61" i="1" s="1"/>
  <c r="L61" i="1"/>
  <c r="J61" i="1"/>
  <c r="O61" i="1" s="1"/>
  <c r="G61" i="1"/>
  <c r="F61" i="1"/>
  <c r="E61" i="1"/>
  <c r="AH61" i="1" s="1"/>
  <c r="AI61" i="1" s="1"/>
  <c r="AE60" i="1"/>
  <c r="AB60" i="1"/>
  <c r="S60" i="1"/>
  <c r="R60" i="1"/>
  <c r="T60" i="1" s="1"/>
  <c r="AE59" i="1"/>
  <c r="AB59" i="1"/>
  <c r="S59" i="1"/>
  <c r="R59" i="1"/>
  <c r="T59" i="1" s="1"/>
  <c r="AE58" i="1"/>
  <c r="AB58" i="1"/>
  <c r="S58" i="1"/>
  <c r="R58" i="1"/>
  <c r="T58" i="1" s="1"/>
  <c r="D58" i="1"/>
  <c r="D59" i="1" s="1"/>
  <c r="D60" i="1" s="1"/>
  <c r="AE57" i="1"/>
  <c r="AG57" i="1" s="1"/>
  <c r="AB57" i="1"/>
  <c r="AD57" i="1" s="1"/>
  <c r="AA57" i="1"/>
  <c r="AL57" i="1" s="1"/>
  <c r="AM57" i="1" s="1"/>
  <c r="Z57" i="1"/>
  <c r="Y57" i="1"/>
  <c r="X57" i="1"/>
  <c r="AJ57" i="1" s="1"/>
  <c r="AK57" i="1" s="1"/>
  <c r="W57" i="1"/>
  <c r="V57" i="1"/>
  <c r="U57" i="1"/>
  <c r="S57" i="1"/>
  <c r="R57" i="1"/>
  <c r="T57" i="1" s="1"/>
  <c r="M57" i="1"/>
  <c r="N57" i="1" s="1"/>
  <c r="L57" i="1"/>
  <c r="J57" i="1"/>
  <c r="G57" i="1"/>
  <c r="F57" i="1"/>
  <c r="E57" i="1"/>
  <c r="AH57" i="1" s="1"/>
  <c r="AI57" i="1" s="1"/>
  <c r="AE56" i="1"/>
  <c r="AB56" i="1"/>
  <c r="S56" i="1"/>
  <c r="R56" i="1"/>
  <c r="T56" i="1" s="1"/>
  <c r="AE55" i="1"/>
  <c r="AE54" i="1" s="1"/>
  <c r="AG54" i="1" s="1"/>
  <c r="AB55" i="1"/>
  <c r="AB54" i="1" s="1"/>
  <c r="AD54" i="1" s="1"/>
  <c r="S55" i="1"/>
  <c r="R55" i="1"/>
  <c r="T55" i="1" s="1"/>
  <c r="D55" i="1"/>
  <c r="D56" i="1" s="1"/>
  <c r="AA54" i="1"/>
  <c r="Z54" i="1"/>
  <c r="Y54" i="1"/>
  <c r="X54" i="1"/>
  <c r="AJ54" i="1" s="1"/>
  <c r="AK54" i="1" s="1"/>
  <c r="W54" i="1"/>
  <c r="V54" i="1"/>
  <c r="U54" i="1"/>
  <c r="S54" i="1"/>
  <c r="R54" i="1"/>
  <c r="T54" i="1" s="1"/>
  <c r="M54" i="1"/>
  <c r="N54" i="1" s="1"/>
  <c r="L54" i="1"/>
  <c r="J54" i="1"/>
  <c r="G54" i="1"/>
  <c r="F54" i="1"/>
  <c r="E54" i="1"/>
  <c r="AH54" i="1" s="1"/>
  <c r="AI54" i="1" s="1"/>
  <c r="I29" i="2"/>
  <c r="I28" i="2"/>
  <c r="I27" i="2"/>
  <c r="I26" i="2"/>
  <c r="I25" i="2"/>
  <c r="I24" i="2"/>
  <c r="I23" i="2"/>
  <c r="I22" i="2"/>
  <c r="I21" i="2"/>
  <c r="I20" i="2"/>
  <c r="AE53" i="1"/>
  <c r="AB53" i="1"/>
  <c r="S53" i="1"/>
  <c r="R53" i="1"/>
  <c r="AE52" i="1"/>
  <c r="AB52" i="1"/>
  <c r="AB51" i="1" s="1"/>
  <c r="AD51" i="1" s="1"/>
  <c r="S52" i="1"/>
  <c r="R52" i="1"/>
  <c r="T52" i="1" s="1"/>
  <c r="D52" i="1"/>
  <c r="D53" i="1" s="1"/>
  <c r="AE51" i="1"/>
  <c r="AA51" i="1"/>
  <c r="Z51" i="1"/>
  <c r="Y51" i="1"/>
  <c r="X51" i="1"/>
  <c r="W51" i="1"/>
  <c r="V51" i="1"/>
  <c r="U51" i="1"/>
  <c r="M51" i="1"/>
  <c r="N51" i="1" s="1"/>
  <c r="L51" i="1"/>
  <c r="J51" i="1"/>
  <c r="G51" i="1"/>
  <c r="F51" i="1"/>
  <c r="E51" i="1"/>
  <c r="AE50" i="1"/>
  <c r="AB50" i="1"/>
  <c r="S50" i="1"/>
  <c r="R50" i="1"/>
  <c r="AE49" i="1"/>
  <c r="AB49" i="1"/>
  <c r="S49" i="1"/>
  <c r="R49" i="1"/>
  <c r="AE48" i="1"/>
  <c r="AB48" i="1"/>
  <c r="S48" i="1"/>
  <c r="R48" i="1"/>
  <c r="D48" i="1"/>
  <c r="D49" i="1" s="1"/>
  <c r="D50" i="1" s="1"/>
  <c r="AA47" i="1"/>
  <c r="Z47" i="1"/>
  <c r="Y47" i="1"/>
  <c r="X47" i="1"/>
  <c r="W47" i="1"/>
  <c r="V47" i="1"/>
  <c r="U47" i="1"/>
  <c r="M47" i="1"/>
  <c r="N47" i="1" s="1"/>
  <c r="L47" i="1"/>
  <c r="J47" i="1"/>
  <c r="G47" i="1"/>
  <c r="F47" i="1"/>
  <c r="E47" i="1"/>
  <c r="AE46" i="1"/>
  <c r="AB46" i="1"/>
  <c r="S46" i="1"/>
  <c r="R46" i="1"/>
  <c r="AE45" i="1"/>
  <c r="AB45" i="1"/>
  <c r="S45" i="1"/>
  <c r="R45" i="1"/>
  <c r="AE44" i="1"/>
  <c r="AE43" i="1" s="1"/>
  <c r="AB44" i="1"/>
  <c r="S44" i="1"/>
  <c r="S43" i="1" s="1"/>
  <c r="R44" i="1"/>
  <c r="D44" i="1"/>
  <c r="D45" i="1" s="1"/>
  <c r="D46" i="1" s="1"/>
  <c r="AA43" i="1"/>
  <c r="Z43" i="1"/>
  <c r="Y43" i="1"/>
  <c r="X43" i="1"/>
  <c r="W43" i="1"/>
  <c r="V43" i="1"/>
  <c r="AQ43" i="1" s="1"/>
  <c r="AR43" i="1" s="1"/>
  <c r="U43" i="1"/>
  <c r="M43" i="1"/>
  <c r="N43" i="1" s="1"/>
  <c r="L43" i="1"/>
  <c r="J43" i="1"/>
  <c r="G43" i="1"/>
  <c r="F43" i="1"/>
  <c r="E43" i="1"/>
  <c r="T161" i="1" l="1"/>
  <c r="O155" i="1"/>
  <c r="T153" i="1"/>
  <c r="O152" i="1"/>
  <c r="T135" i="1"/>
  <c r="T128" i="1"/>
  <c r="S132" i="1"/>
  <c r="S147" i="1"/>
  <c r="T139" i="1"/>
  <c r="T124" i="1"/>
  <c r="O124" i="1"/>
  <c r="AQ161" i="1"/>
  <c r="AR161" i="1" s="1"/>
  <c r="AO161" i="1"/>
  <c r="AP161" i="1" s="1"/>
  <c r="AS161" i="1" s="1"/>
  <c r="AO158" i="1"/>
  <c r="AP158" i="1" s="1"/>
  <c r="AS158" i="1" s="1"/>
  <c r="AQ158" i="1"/>
  <c r="AR158" i="1" s="1"/>
  <c r="T157" i="1"/>
  <c r="R155" i="1"/>
  <c r="T155" i="1" s="1"/>
  <c r="AQ155" i="1"/>
  <c r="AR155" i="1" s="1"/>
  <c r="AO155" i="1"/>
  <c r="AP155" i="1" s="1"/>
  <c r="AS155" i="1" s="1"/>
  <c r="AO152" i="1"/>
  <c r="AP152" i="1" s="1"/>
  <c r="AQ152" i="1"/>
  <c r="AR152" i="1" s="1"/>
  <c r="T149" i="1"/>
  <c r="R147" i="1"/>
  <c r="T147" i="1" s="1"/>
  <c r="AQ147" i="1"/>
  <c r="AR147" i="1" s="1"/>
  <c r="AO147" i="1"/>
  <c r="AP147" i="1" s="1"/>
  <c r="AS147" i="1" s="1"/>
  <c r="AO143" i="1"/>
  <c r="AP143" i="1" s="1"/>
  <c r="AS143" i="1" s="1"/>
  <c r="AU143" i="1" s="1"/>
  <c r="AQ143" i="1"/>
  <c r="AR143" i="1" s="1"/>
  <c r="AQ139" i="1"/>
  <c r="AR139" i="1" s="1"/>
  <c r="AO139" i="1"/>
  <c r="AP139" i="1" s="1"/>
  <c r="AQ135" i="1"/>
  <c r="AR135" i="1" s="1"/>
  <c r="AO135" i="1"/>
  <c r="AP135" i="1" s="1"/>
  <c r="AS135" i="1" s="1"/>
  <c r="T134" i="1"/>
  <c r="R132" i="1"/>
  <c r="AQ132" i="1"/>
  <c r="AR132" i="1" s="1"/>
  <c r="AO132" i="1"/>
  <c r="AP132" i="1" s="1"/>
  <c r="AS132" i="1" s="1"/>
  <c r="AQ128" i="1"/>
  <c r="AR128" i="1" s="1"/>
  <c r="AO128" i="1"/>
  <c r="AP128" i="1" s="1"/>
  <c r="AS128" i="1" s="1"/>
  <c r="AO124" i="1"/>
  <c r="AP124" i="1" s="1"/>
  <c r="AS124" i="1" s="1"/>
  <c r="AQ124" i="1"/>
  <c r="AR124" i="1" s="1"/>
  <c r="O139" i="1"/>
  <c r="AN143" i="1"/>
  <c r="AN128" i="1"/>
  <c r="AN124" i="1"/>
  <c r="O132" i="1"/>
  <c r="O161" i="1"/>
  <c r="AN147" i="1"/>
  <c r="O135" i="1"/>
  <c r="AN139" i="1"/>
  <c r="AN161" i="1"/>
  <c r="AN155" i="1"/>
  <c r="AN152" i="1"/>
  <c r="AN135" i="1"/>
  <c r="AN132" i="1"/>
  <c r="AN158" i="1"/>
  <c r="AQ120" i="1"/>
  <c r="AR120" i="1" s="1"/>
  <c r="AO120" i="1"/>
  <c r="AP120" i="1" s="1"/>
  <c r="AS120" i="1" s="1"/>
  <c r="AO116" i="1"/>
  <c r="AP116" i="1" s="1"/>
  <c r="AS116" i="1" s="1"/>
  <c r="AQ116" i="1"/>
  <c r="AR116" i="1" s="1"/>
  <c r="AQ112" i="1"/>
  <c r="AR112" i="1" s="1"/>
  <c r="AO112" i="1"/>
  <c r="AP112" i="1" s="1"/>
  <c r="AS112" i="1" s="1"/>
  <c r="T110" i="1"/>
  <c r="R109" i="1"/>
  <c r="T109" i="1" s="1"/>
  <c r="AO106" i="1"/>
  <c r="AP106" i="1" s="1"/>
  <c r="AS106" i="1" s="1"/>
  <c r="AQ106" i="1"/>
  <c r="AR106" i="1" s="1"/>
  <c r="AO103" i="1"/>
  <c r="AP103" i="1" s="1"/>
  <c r="AQ103" i="1"/>
  <c r="AR103" i="1" s="1"/>
  <c r="AO99" i="1"/>
  <c r="AP99" i="1" s="1"/>
  <c r="AQ99" i="1"/>
  <c r="AR99" i="1" s="1"/>
  <c r="AQ96" i="1"/>
  <c r="AR96" i="1" s="1"/>
  <c r="AO96" i="1"/>
  <c r="AP96" i="1" s="1"/>
  <c r="AS96" i="1" s="1"/>
  <c r="AO92" i="1"/>
  <c r="AP92" i="1" s="1"/>
  <c r="AQ92" i="1"/>
  <c r="AR92" i="1" s="1"/>
  <c r="AO88" i="1"/>
  <c r="AP88" i="1" s="1"/>
  <c r="AQ88" i="1"/>
  <c r="AR88" i="1" s="1"/>
  <c r="AN92" i="1"/>
  <c r="AN88" i="1"/>
  <c r="O116" i="1"/>
  <c r="AN106" i="1"/>
  <c r="AN96" i="1"/>
  <c r="AN99" i="1"/>
  <c r="AN120" i="1"/>
  <c r="O120" i="1"/>
  <c r="AU120" i="1" s="1"/>
  <c r="AN116" i="1"/>
  <c r="AN112" i="1"/>
  <c r="AN109" i="1"/>
  <c r="AU109" i="1" s="1"/>
  <c r="AN103" i="1"/>
  <c r="AQ84" i="1"/>
  <c r="AR84" i="1" s="1"/>
  <c r="AO84" i="1"/>
  <c r="AP84" i="1" s="1"/>
  <c r="AS84" i="1" s="1"/>
  <c r="R81" i="1"/>
  <c r="T81" i="1" s="1"/>
  <c r="T82" i="1"/>
  <c r="AQ77" i="1"/>
  <c r="AR77" i="1" s="1"/>
  <c r="AO77" i="1"/>
  <c r="AP77" i="1" s="1"/>
  <c r="AS77" i="1" s="1"/>
  <c r="AQ74" i="1"/>
  <c r="AR74" i="1" s="1"/>
  <c r="AO74" i="1"/>
  <c r="AP74" i="1" s="1"/>
  <c r="AS74" i="1" s="1"/>
  <c r="AU74" i="1" s="1"/>
  <c r="T73" i="1"/>
  <c r="R71" i="1"/>
  <c r="T71" i="1" s="1"/>
  <c r="AQ71" i="1"/>
  <c r="AR71" i="1" s="1"/>
  <c r="AO71" i="1"/>
  <c r="AP71" i="1" s="1"/>
  <c r="AS71" i="1" s="1"/>
  <c r="AQ68" i="1"/>
  <c r="AR68" i="1" s="1"/>
  <c r="AO68" i="1"/>
  <c r="AP68" i="1" s="1"/>
  <c r="T65" i="1"/>
  <c r="R64" i="1"/>
  <c r="T64" i="1" s="1"/>
  <c r="AQ64" i="1"/>
  <c r="AR64" i="1" s="1"/>
  <c r="AO64" i="1"/>
  <c r="AP64" i="1" s="1"/>
  <c r="AS64" i="1" s="1"/>
  <c r="AQ61" i="1"/>
  <c r="AR61" i="1" s="1"/>
  <c r="AO61" i="1"/>
  <c r="AP61" i="1" s="1"/>
  <c r="AS61" i="1" s="1"/>
  <c r="AQ57" i="1"/>
  <c r="AR57" i="1" s="1"/>
  <c r="AO57" i="1"/>
  <c r="AP57" i="1" s="1"/>
  <c r="AS57" i="1" s="1"/>
  <c r="AL54" i="1"/>
  <c r="AM54" i="1" s="1"/>
  <c r="AN54" i="1" s="1"/>
  <c r="AQ54" i="1"/>
  <c r="AR54" i="1" s="1"/>
  <c r="AO54" i="1"/>
  <c r="AP54" i="1" s="1"/>
  <c r="AS54" i="1" s="1"/>
  <c r="AN84" i="1"/>
  <c r="AN64" i="1"/>
  <c r="AN61" i="1"/>
  <c r="AN57" i="1"/>
  <c r="AN71" i="1"/>
  <c r="AN68" i="1"/>
  <c r="O54" i="1"/>
  <c r="AN81" i="1"/>
  <c r="AU81" i="1" s="1"/>
  <c r="O77" i="1"/>
  <c r="AU77" i="1" s="1"/>
  <c r="O57" i="1"/>
  <c r="AU57" i="1" s="1"/>
  <c r="AN77" i="1"/>
  <c r="AN74" i="1"/>
  <c r="AO47" i="1"/>
  <c r="AP47" i="1" s="1"/>
  <c r="AQ51" i="1"/>
  <c r="AR51" i="1" s="1"/>
  <c r="AL51" i="1"/>
  <c r="AM51" i="1" s="1"/>
  <c r="AJ51" i="1"/>
  <c r="AK51" i="1" s="1"/>
  <c r="AO51" i="1"/>
  <c r="AP51" i="1" s="1"/>
  <c r="S51" i="1"/>
  <c r="R51" i="1"/>
  <c r="T51" i="1" s="1"/>
  <c r="AH51" i="1"/>
  <c r="AI51" i="1" s="1"/>
  <c r="O51" i="1"/>
  <c r="T45" i="1"/>
  <c r="T46" i="1"/>
  <c r="T49" i="1"/>
  <c r="T53" i="1"/>
  <c r="AL47" i="1"/>
  <c r="AM47" i="1" s="1"/>
  <c r="T50" i="1"/>
  <c r="S47" i="1"/>
  <c r="AJ47" i="1"/>
  <c r="AK47" i="1" s="1"/>
  <c r="AB47" i="1"/>
  <c r="AD47" i="1" s="1"/>
  <c r="AQ47" i="1"/>
  <c r="AR47" i="1" s="1"/>
  <c r="AS47" i="1" s="1"/>
  <c r="AE47" i="1"/>
  <c r="T48" i="1"/>
  <c r="AH47" i="1"/>
  <c r="AI47" i="1" s="1"/>
  <c r="O47" i="1"/>
  <c r="R47" i="1"/>
  <c r="AL43" i="1"/>
  <c r="AM43" i="1" s="1"/>
  <c r="AO43" i="1"/>
  <c r="AP43" i="1" s="1"/>
  <c r="AS43" i="1"/>
  <c r="AJ43" i="1"/>
  <c r="AK43" i="1" s="1"/>
  <c r="AB43" i="1"/>
  <c r="AD43" i="1" s="1"/>
  <c r="T44" i="1"/>
  <c r="AH43" i="1"/>
  <c r="AI43" i="1" s="1"/>
  <c r="O43" i="1"/>
  <c r="R43" i="1"/>
  <c r="T43" i="1" s="1"/>
  <c r="T132" i="1" l="1"/>
  <c r="AU135" i="1"/>
  <c r="AU155" i="1"/>
  <c r="AU128" i="1"/>
  <c r="AS139" i="1"/>
  <c r="AU139" i="1" s="1"/>
  <c r="AU161" i="1"/>
  <c r="AU158" i="1"/>
  <c r="AS152" i="1"/>
  <c r="AU152" i="1" s="1"/>
  <c r="AU147" i="1"/>
  <c r="AU124" i="1"/>
  <c r="AU132" i="1"/>
  <c r="AS103" i="1"/>
  <c r="AU103" i="1" s="1"/>
  <c r="AS99" i="1"/>
  <c r="AU99" i="1" s="1"/>
  <c r="AU96" i="1"/>
  <c r="AS92" i="1"/>
  <c r="AU92" i="1" s="1"/>
  <c r="AU116" i="1"/>
  <c r="AU106" i="1"/>
  <c r="AU112" i="1"/>
  <c r="AS88" i="1"/>
  <c r="AU88" i="1" s="1"/>
  <c r="AU84" i="1"/>
  <c r="AS68" i="1"/>
  <c r="AU68" i="1" s="1"/>
  <c r="AU71" i="1"/>
  <c r="AU61" i="1"/>
  <c r="AU64" i="1"/>
  <c r="AU54" i="1"/>
  <c r="AS51" i="1"/>
  <c r="T47" i="1"/>
  <c r="AE42" i="1"/>
  <c r="AB42" i="1"/>
  <c r="S42" i="1"/>
  <c r="R42" i="1"/>
  <c r="T42" i="1" s="1"/>
  <c r="AE41" i="1"/>
  <c r="AE40" i="1" s="1"/>
  <c r="AB41" i="1"/>
  <c r="AB40" i="1" s="1"/>
  <c r="AD40" i="1" s="1"/>
  <c r="S41" i="1"/>
  <c r="R41" i="1"/>
  <c r="D41" i="1"/>
  <c r="D42" i="1" s="1"/>
  <c r="AA40" i="1"/>
  <c r="Z40" i="1"/>
  <c r="Y40" i="1"/>
  <c r="X40" i="1"/>
  <c r="W40" i="1"/>
  <c r="V40" i="1"/>
  <c r="AQ40" i="1" s="1"/>
  <c r="AR40" i="1" s="1"/>
  <c r="U40" i="1"/>
  <c r="M40" i="1"/>
  <c r="N40" i="1" s="1"/>
  <c r="L40" i="1"/>
  <c r="J40" i="1"/>
  <c r="G40" i="1"/>
  <c r="F40" i="1"/>
  <c r="E40" i="1"/>
  <c r="AH40" i="1" s="1"/>
  <c r="AI40" i="1" s="1"/>
  <c r="E34" i="1"/>
  <c r="AE39" i="1"/>
  <c r="AB39" i="1"/>
  <c r="S39" i="1"/>
  <c r="R39" i="1"/>
  <c r="AE38" i="1"/>
  <c r="AB38" i="1"/>
  <c r="S38" i="1"/>
  <c r="R38" i="1"/>
  <c r="AE37" i="1"/>
  <c r="AB37" i="1"/>
  <c r="S37" i="1"/>
  <c r="R37" i="1"/>
  <c r="AE36" i="1"/>
  <c r="AB36" i="1"/>
  <c r="S36" i="1"/>
  <c r="R36" i="1"/>
  <c r="AE35" i="1"/>
  <c r="AB35" i="1"/>
  <c r="S35" i="1"/>
  <c r="R35" i="1"/>
  <c r="D35" i="1"/>
  <c r="D36" i="1" s="1"/>
  <c r="D37" i="1" s="1"/>
  <c r="D38" i="1" s="1"/>
  <c r="D39" i="1" s="1"/>
  <c r="AA34" i="1"/>
  <c r="Z34" i="1"/>
  <c r="Y34" i="1"/>
  <c r="X34" i="1"/>
  <c r="W34" i="1"/>
  <c r="V34" i="1"/>
  <c r="U34" i="1"/>
  <c r="M34" i="1"/>
  <c r="N34" i="1" s="1"/>
  <c r="L34" i="1"/>
  <c r="J34" i="1"/>
  <c r="G34" i="1"/>
  <c r="AE33" i="1"/>
  <c r="AB33" i="1"/>
  <c r="S33" i="1"/>
  <c r="R33" i="1"/>
  <c r="AE32" i="1"/>
  <c r="AE31" i="1" s="1"/>
  <c r="AB32" i="1"/>
  <c r="AB31" i="1" s="1"/>
  <c r="AD31" i="1" s="1"/>
  <c r="S32" i="1"/>
  <c r="R32" i="1"/>
  <c r="D32" i="1"/>
  <c r="D33" i="1" s="1"/>
  <c r="AA31" i="1"/>
  <c r="Z31" i="1"/>
  <c r="Y31" i="1"/>
  <c r="X31" i="1"/>
  <c r="W31" i="1"/>
  <c r="V31" i="1"/>
  <c r="U31" i="1"/>
  <c r="M31" i="1"/>
  <c r="N31" i="1" s="1"/>
  <c r="L31" i="1"/>
  <c r="J31" i="1"/>
  <c r="G31" i="1"/>
  <c r="F31" i="1"/>
  <c r="E31" i="1"/>
  <c r="AE30" i="1"/>
  <c r="AB30" i="1"/>
  <c r="S30" i="1"/>
  <c r="R30" i="1"/>
  <c r="AE29" i="1"/>
  <c r="AB29" i="1"/>
  <c r="S29" i="1"/>
  <c r="R29" i="1"/>
  <c r="AE28" i="1"/>
  <c r="AE27" i="1" s="1"/>
  <c r="AB28" i="1"/>
  <c r="S28" i="1"/>
  <c r="R28" i="1"/>
  <c r="D28" i="1"/>
  <c r="D29" i="1" s="1"/>
  <c r="D30" i="1" s="1"/>
  <c r="AA27" i="1"/>
  <c r="Z27" i="1"/>
  <c r="Y27" i="1"/>
  <c r="X27" i="1"/>
  <c r="W27" i="1"/>
  <c r="V27" i="1"/>
  <c r="U27" i="1"/>
  <c r="M27" i="1"/>
  <c r="N27" i="1" s="1"/>
  <c r="L27" i="1"/>
  <c r="J27" i="1"/>
  <c r="G27" i="1"/>
  <c r="F27" i="1"/>
  <c r="E27" i="1"/>
  <c r="AL40" i="1" l="1"/>
  <c r="AM40" i="1" s="1"/>
  <c r="T41" i="1"/>
  <c r="AO34" i="1"/>
  <c r="AP34" i="1" s="1"/>
  <c r="AJ27" i="1"/>
  <c r="AK27" i="1" s="1"/>
  <c r="AL31" i="1"/>
  <c r="AM31" i="1" s="1"/>
  <c r="AH34" i="1"/>
  <c r="AI34" i="1" s="1"/>
  <c r="AO40" i="1"/>
  <c r="AP40" i="1" s="1"/>
  <c r="S40" i="1"/>
  <c r="AJ40" i="1"/>
  <c r="AK40" i="1" s="1"/>
  <c r="AS40" i="1"/>
  <c r="R40" i="1"/>
  <c r="O40" i="1"/>
  <c r="T36" i="1"/>
  <c r="T38" i="1"/>
  <c r="T39" i="1"/>
  <c r="AL34" i="1"/>
  <c r="AM34" i="1" s="1"/>
  <c r="T37" i="1"/>
  <c r="AJ34" i="1"/>
  <c r="AK34" i="1" s="1"/>
  <c r="AQ34" i="1"/>
  <c r="AR34" i="1" s="1"/>
  <c r="AE34" i="1"/>
  <c r="AB34" i="1"/>
  <c r="AD34" i="1" s="1"/>
  <c r="T35" i="1"/>
  <c r="S34" i="1"/>
  <c r="O34" i="1"/>
  <c r="R34" i="1"/>
  <c r="AH27" i="1"/>
  <c r="AI27" i="1" s="1"/>
  <c r="AH31" i="1"/>
  <c r="AI31" i="1" s="1"/>
  <c r="T32" i="1"/>
  <c r="T33" i="1"/>
  <c r="AQ31" i="1"/>
  <c r="AR31" i="1" s="1"/>
  <c r="AO31" i="1"/>
  <c r="AP31" i="1" s="1"/>
  <c r="AJ31" i="1"/>
  <c r="AK31" i="1" s="1"/>
  <c r="S31" i="1"/>
  <c r="R31" i="1"/>
  <c r="O31" i="1"/>
  <c r="T28" i="1"/>
  <c r="T29" i="1"/>
  <c r="T30" i="1"/>
  <c r="AL27" i="1"/>
  <c r="AM27" i="1" s="1"/>
  <c r="S27" i="1"/>
  <c r="AO27" i="1"/>
  <c r="AP27" i="1" s="1"/>
  <c r="AQ27" i="1"/>
  <c r="AR27" i="1" s="1"/>
  <c r="AB27" i="1"/>
  <c r="AD27" i="1" s="1"/>
  <c r="O27" i="1"/>
  <c r="R27" i="1"/>
  <c r="AE26" i="1"/>
  <c r="AB26" i="1"/>
  <c r="S26" i="1"/>
  <c r="R26" i="1"/>
  <c r="AE25" i="1"/>
  <c r="AB25" i="1"/>
  <c r="S25" i="1"/>
  <c r="R25" i="1"/>
  <c r="D25" i="1"/>
  <c r="D26" i="1" s="1"/>
  <c r="AA24" i="1"/>
  <c r="Z24" i="1"/>
  <c r="Y24" i="1"/>
  <c r="X24" i="1"/>
  <c r="W24" i="1"/>
  <c r="V24" i="1"/>
  <c r="U24" i="1"/>
  <c r="M24" i="1"/>
  <c r="N24" i="1" s="1"/>
  <c r="L24" i="1"/>
  <c r="J24" i="1"/>
  <c r="G24" i="1"/>
  <c r="F24" i="1"/>
  <c r="E24" i="1"/>
  <c r="AS34" i="1" l="1"/>
  <c r="AE24" i="1"/>
  <c r="T40" i="1"/>
  <c r="T27" i="1"/>
  <c r="T31" i="1"/>
  <c r="T34" i="1"/>
  <c r="T25" i="1"/>
  <c r="T26" i="1"/>
  <c r="AS31" i="1"/>
  <c r="AS27" i="1"/>
  <c r="AL24" i="1"/>
  <c r="AM24" i="1" s="1"/>
  <c r="AO24" i="1"/>
  <c r="AP24" i="1" s="1"/>
  <c r="AB24" i="1"/>
  <c r="AD24" i="1" s="1"/>
  <c r="S24" i="1"/>
  <c r="AJ24" i="1"/>
  <c r="AK24" i="1" s="1"/>
  <c r="AQ24" i="1"/>
  <c r="AR24" i="1" s="1"/>
  <c r="AS24" i="1" s="1"/>
  <c r="AH24" i="1"/>
  <c r="AI24" i="1" s="1"/>
  <c r="O24" i="1"/>
  <c r="R24" i="1"/>
  <c r="AE23" i="1"/>
  <c r="AB23" i="1"/>
  <c r="S23" i="1"/>
  <c r="R23" i="1"/>
  <c r="AE22" i="1"/>
  <c r="AE20" i="1" s="1"/>
  <c r="AB22" i="1"/>
  <c r="S22" i="1"/>
  <c r="R22" i="1"/>
  <c r="AE21" i="1"/>
  <c r="AB21" i="1"/>
  <c r="S21" i="1"/>
  <c r="R21" i="1"/>
  <c r="D21" i="1"/>
  <c r="D22" i="1" s="1"/>
  <c r="D23" i="1" s="1"/>
  <c r="AA20" i="1"/>
  <c r="Z20" i="1"/>
  <c r="Y20" i="1"/>
  <c r="AO20" i="1" s="1"/>
  <c r="AP20" i="1" s="1"/>
  <c r="X20" i="1"/>
  <c r="W20" i="1"/>
  <c r="V20" i="1"/>
  <c r="AQ20" i="1" s="1"/>
  <c r="AR20" i="1" s="1"/>
  <c r="U20" i="1"/>
  <c r="M20" i="1"/>
  <c r="N20" i="1" s="1"/>
  <c r="L20" i="1"/>
  <c r="J20" i="1"/>
  <c r="G20" i="1"/>
  <c r="F20" i="1"/>
  <c r="E20" i="1"/>
  <c r="AE19" i="1"/>
  <c r="AB19" i="1"/>
  <c r="S19" i="1"/>
  <c r="R19" i="1"/>
  <c r="AE18" i="1"/>
  <c r="AB18" i="1"/>
  <c r="S18" i="1"/>
  <c r="R18" i="1"/>
  <c r="AE17" i="1"/>
  <c r="AB17" i="1"/>
  <c r="S17" i="1"/>
  <c r="R17" i="1"/>
  <c r="D17" i="1"/>
  <c r="D18" i="1" s="1"/>
  <c r="D19" i="1" s="1"/>
  <c r="AA16" i="1"/>
  <c r="Z16" i="1"/>
  <c r="Y16" i="1"/>
  <c r="X16" i="1"/>
  <c r="W16" i="1"/>
  <c r="V16" i="1"/>
  <c r="U16" i="1"/>
  <c r="M16" i="1"/>
  <c r="N16" i="1" s="1"/>
  <c r="L16" i="1"/>
  <c r="J16" i="1"/>
  <c r="G16" i="1"/>
  <c r="F16" i="1"/>
  <c r="E16" i="1"/>
  <c r="AL20" i="1" l="1"/>
  <c r="AM20" i="1" s="1"/>
  <c r="AE16" i="1"/>
  <c r="AQ16" i="1"/>
  <c r="AR16" i="1" s="1"/>
  <c r="AO16" i="1"/>
  <c r="AP16" i="1" s="1"/>
  <c r="AS16" i="1" s="1"/>
  <c r="AL16" i="1"/>
  <c r="AM16" i="1" s="1"/>
  <c r="AJ20" i="1"/>
  <c r="AK20" i="1" s="1"/>
  <c r="T24" i="1"/>
  <c r="T22" i="1"/>
  <c r="T23" i="1"/>
  <c r="O20" i="1"/>
  <c r="AS20" i="1"/>
  <c r="AB20" i="1"/>
  <c r="AD20" i="1" s="1"/>
  <c r="S20" i="1"/>
  <c r="T21" i="1"/>
  <c r="AH20" i="1"/>
  <c r="AI20" i="1" s="1"/>
  <c r="R20" i="1"/>
  <c r="T18" i="1"/>
  <c r="T17" i="1"/>
  <c r="T19" i="1"/>
  <c r="AJ16" i="1"/>
  <c r="AK16" i="1" s="1"/>
  <c r="S16" i="1"/>
  <c r="AB16" i="1"/>
  <c r="AD16" i="1" s="1"/>
  <c r="AH16" i="1"/>
  <c r="AI16" i="1" s="1"/>
  <c r="O16" i="1"/>
  <c r="R16" i="1"/>
  <c r="T20" i="1" l="1"/>
  <c r="T16" i="1"/>
  <c r="AG13" i="1" l="1"/>
  <c r="AG51" i="1" l="1"/>
  <c r="AN51" i="1" s="1"/>
  <c r="AU51" i="1" s="1"/>
  <c r="AG43" i="1"/>
  <c r="AN43" i="1" s="1"/>
  <c r="AU43" i="1" s="1"/>
  <c r="AG47" i="1"/>
  <c r="AN47" i="1" s="1"/>
  <c r="AU47" i="1" s="1"/>
  <c r="AG40" i="1"/>
  <c r="AN40" i="1" s="1"/>
  <c r="AU40" i="1" s="1"/>
  <c r="AG34" i="1"/>
  <c r="AN34" i="1" s="1"/>
  <c r="AU34" i="1" s="1"/>
  <c r="AG16" i="1"/>
  <c r="AN16" i="1" s="1"/>
  <c r="AU16" i="1" s="1"/>
  <c r="AG27" i="1"/>
  <c r="AN27" i="1" s="1"/>
  <c r="AU27" i="1" s="1"/>
  <c r="AG31" i="1"/>
  <c r="AN31" i="1" s="1"/>
  <c r="AU31" i="1" s="1"/>
  <c r="AG24" i="1"/>
  <c r="AN24" i="1" s="1"/>
  <c r="AU24" i="1" s="1"/>
  <c r="AG20" i="1"/>
  <c r="AN20" i="1" s="1"/>
  <c r="AU20" i="1" s="1"/>
  <c r="E11" i="2"/>
  <c r="I11" i="2" s="1"/>
  <c r="E12" i="2"/>
  <c r="I12" i="2" s="1"/>
  <c r="E13" i="2"/>
  <c r="I13" i="2" s="1"/>
  <c r="E14" i="2"/>
  <c r="I14" i="2" s="1"/>
  <c r="E15" i="2"/>
  <c r="I15" i="2" s="1"/>
  <c r="E16" i="2"/>
  <c r="I16" i="2" s="1"/>
  <c r="E17" i="2"/>
  <c r="E18" i="2"/>
  <c r="I18" i="2" s="1"/>
  <c r="E19" i="2"/>
  <c r="I19" i="2" s="1"/>
  <c r="E20" i="2"/>
  <c r="E21" i="2"/>
  <c r="E22" i="2"/>
  <c r="E23" i="2"/>
  <c r="E24" i="2"/>
  <c r="E25" i="2"/>
  <c r="E26" i="2"/>
  <c r="E27" i="2"/>
  <c r="E28" i="2"/>
  <c r="E29" i="2"/>
  <c r="E30" i="2"/>
  <c r="E31" i="2"/>
  <c r="E32" i="2"/>
  <c r="E33" i="2"/>
  <c r="E34" i="2"/>
  <c r="E35" i="2"/>
  <c r="E36" i="2"/>
  <c r="E37" i="2"/>
  <c r="E38" i="2"/>
  <c r="E39" i="2"/>
  <c r="E40" i="2"/>
  <c r="E41" i="2"/>
  <c r="E42" i="2"/>
  <c r="E43" i="2"/>
  <c r="E44" i="2"/>
  <c r="E45" i="2"/>
  <c r="E46" i="2"/>
  <c r="E47" i="2"/>
  <c r="E48" i="2"/>
  <c r="E49" i="2"/>
  <c r="E10" i="2"/>
  <c r="I10" i="2" s="1"/>
  <c r="E7" i="1" l="1"/>
  <c r="E8" i="1"/>
</calcChain>
</file>

<file path=xl/sharedStrings.xml><?xml version="1.0" encoding="utf-8"?>
<sst xmlns="http://schemas.openxmlformats.org/spreadsheetml/2006/main" count="434" uniqueCount="252">
  <si>
    <t>NOMBRE PROCESO:</t>
  </si>
  <si>
    <t>FECHA CIERRE:</t>
  </si>
  <si>
    <t>PRESUPUESTO OFICIAL</t>
  </si>
  <si>
    <t>Propuestas Recibidas</t>
  </si>
  <si>
    <t>No.</t>
  </si>
  <si>
    <t xml:space="preserve">Nombre del Proponente </t>
  </si>
  <si>
    <t>Nit.</t>
  </si>
  <si>
    <t>CONSORCIADOS</t>
  </si>
  <si>
    <t>INFORMACIÓN DEL INTERESADO</t>
  </si>
  <si>
    <t xml:space="preserve">VERIFICACIÓN RUP </t>
  </si>
  <si>
    <t xml:space="preserve"> INFORMACIÓN FINANCIERA</t>
  </si>
  <si>
    <t>A. CAPACIDAD FINANCIERA</t>
  </si>
  <si>
    <t>B. CAPACIDAD ORGANIZACIONAL</t>
  </si>
  <si>
    <t>RESULTADO VERIFICACIÓN</t>
  </si>
  <si>
    <t>OBSERVACIONES</t>
  </si>
  <si>
    <t>PROPUESTA No.</t>
  </si>
  <si>
    <t>PROPONENTE</t>
  </si>
  <si>
    <t>NIT.</t>
  </si>
  <si>
    <t>% PART.</t>
  </si>
  <si>
    <t>AÑO EF</t>
  </si>
  <si>
    <t>VERIFICACIÓN DOCUMENTAL RUP</t>
  </si>
  <si>
    <t>CUMPLE / NO CUMPLE</t>
  </si>
  <si>
    <t>ACTIVO CORRIENTE</t>
  </si>
  <si>
    <t>ACTIVO TOTAL</t>
  </si>
  <si>
    <t>PASIVO CORRIENTE</t>
  </si>
  <si>
    <t>PASIVO TOTAL</t>
  </si>
  <si>
    <t>PATRIMONIO</t>
  </si>
  <si>
    <t>UTILIDAD OPERACIONAL</t>
  </si>
  <si>
    <t>GASTOS DE INTERESES</t>
  </si>
  <si>
    <t>CAPITAL DE TRABAJO</t>
  </si>
  <si>
    <t>LIQUIDEZ</t>
  </si>
  <si>
    <t>NIVEL DE ENDEUDAMIENTO</t>
  </si>
  <si>
    <t xml:space="preserve">RAZON DE COBERTURA DE INTERESES </t>
  </si>
  <si>
    <t>RENTABILIDAD EN EL PATRIMONIO</t>
  </si>
  <si>
    <t>RENTABILIDAD DEL ACTIVO</t>
  </si>
  <si>
    <t>FECHA EXP.</t>
  </si>
  <si>
    <t>FECHA RENOV.</t>
  </si>
  <si>
    <t>RUP EN FIRME</t>
  </si>
  <si>
    <t>RUP VIGENTE</t>
  </si>
  <si>
    <t>Mayor o igual a PO:</t>
  </si>
  <si>
    <t>Mayor o igual a:</t>
  </si>
  <si>
    <t>Menor o igual a:</t>
  </si>
  <si>
    <t>VALOR</t>
  </si>
  <si>
    <t>RESULTADO</t>
  </si>
  <si>
    <t>INDICADOR</t>
  </si>
  <si>
    <t>OBJETO A CONTRATAR:</t>
  </si>
  <si>
    <r>
      <rPr>
        <b/>
        <sz val="24"/>
        <color theme="8" tint="-0.499984740745262"/>
        <rFont val="Arial Narrow"/>
        <family val="2"/>
      </rPr>
      <t>AGENCIA NACIONAL DE INFRAESTRUCTURA - ANI</t>
    </r>
    <r>
      <rPr>
        <b/>
        <sz val="24"/>
        <color theme="1"/>
        <rFont val="Arial Narrow"/>
        <family val="2"/>
      </rPr>
      <t xml:space="preserve">
VERIFICACION DE REQUISITOS HABILITANTES FINANCIEROS
</t>
    </r>
  </si>
  <si>
    <t>Valor Presupuesto Oficial</t>
  </si>
  <si>
    <t>Realizó Oferta en SECOPII (SI/NO)</t>
  </si>
  <si>
    <t>Valor Oferta Ecnómica Registrada en SECOPII</t>
  </si>
  <si>
    <t>CUMPLIMIENTO</t>
  </si>
  <si>
    <t>CARTA DE PRESENTACIÓN</t>
  </si>
  <si>
    <t>DOCUMENTO PLURAL</t>
  </si>
  <si>
    <t>VALOR PROPUESTA SECOP II</t>
  </si>
  <si>
    <t>CUMPLIMIENTO VERIFICACIÓN DOCUMENTAL</t>
  </si>
  <si>
    <t>SI</t>
  </si>
  <si>
    <t>C. OFERTA ECONÓMICA</t>
  </si>
  <si>
    <t>Valor Formato Oferta Económica</t>
  </si>
  <si>
    <t>CUMPLE</t>
  </si>
  <si>
    <t>OBSERVACIONES CAPACIDAD FINANCIERA Y ORGANIZACIONAL</t>
  </si>
  <si>
    <t>OBSERVACIONES OFERTA ECONÓMICA Y CORRECIÓN ARITMÉTICA</t>
  </si>
  <si>
    <t>CAPITAL DE TRABAJO DE AL MENOS UNO</t>
  </si>
  <si>
    <t>CONCURSO DE MÉRITOS ABIERTO No. VJ-VEJ-CM-002-2026</t>
  </si>
  <si>
    <t>“INTERVENTORÍA INTEGRAL QUE INCLUYE, PERO NO SE LIMITA A: LA INTERVENTORÍA TÉCNICA, ECONÓMICA, FINANCIERA, CONTABLE, JURÍDICA, SOCIAL, PREDIAL, AMBIENTAL, DE REDES, ADMINISTRATIVA, DE SEGUROS, RIESGOS, OPERATIVA, MANTENIMIENTO, ADMINISTRATIVA DE AFORO Y RECAUDO, DE GESTIÓN DE CALIDAD, GESTIÓN DE ARCHIVO DOCUMENTAL Y GESTIÓN DE SEGUIMIENTO DEL CONTRATO DE CONCESIÓN BAJO UN ESQUEMA DE ASOCIACIÓN PÚBLICO PRIVADA QUE SE DERIVE DEL PROCESO LICITATORIO No. VJ-VE-APP-IPB-001-2024 CUYO OBJETO CORRESPONDE A LA FINANCIACIÓN, ELABORACIÓN DE ESTUDIOS Y DISEÑOS DEFINITIVOS, GESTIÓN AMBIENTAL, GESTIÓN PREDIAL, GESTIÓN SOCIAL, CONSTRUCCIÓN, REHABILITACIÓN, MEJORAMIENTO, OPERACIÓN Y MANTENIMIENTO DEL CORREDOR “EL ESTANQUILLO - POPAYÁN”, DE ACUERDO CON EL ALCANCE DESCRITO EN LA PARTE ESPECIAL, EL APÉNDICE TÉCNICO 1 Y DEMÁS APÉNDICES DEL CONTRATO”</t>
  </si>
  <si>
    <t>CONSORCIO VIAS DEL CAUCA CT</t>
  </si>
  <si>
    <t>CEMOSA COLOMBIA</t>
  </si>
  <si>
    <t>900.549.062-9</t>
  </si>
  <si>
    <t>CEMOSA INGENIERIA Y CONTROL SAS</t>
  </si>
  <si>
    <t>901.061.715-7</t>
  </si>
  <si>
    <t>TNM INGENIERIA S.A.S.</t>
  </si>
  <si>
    <t>901.133.072-1</t>
  </si>
  <si>
    <t>CONSORCIO INTER CONCESIÓN POPAYAN</t>
  </si>
  <si>
    <t>INTECSA ENGINEERING GROUP, S.A. UNIPERSONAL SUCURSAL COLOMBIA</t>
  </si>
  <si>
    <t>901.016.131-5</t>
  </si>
  <si>
    <t>INTECSA COLOMBIA INTERNACIONAL S.A.S</t>
  </si>
  <si>
    <t>901.115.174-6</t>
  </si>
  <si>
    <t>JGF INGENIERIA S.A.S</t>
  </si>
  <si>
    <t>901.884.791-9</t>
  </si>
  <si>
    <t>CONSORCIO AC EL ESTANQUILLO</t>
  </si>
  <si>
    <t>AIM ENGINEERING S.A.S</t>
  </si>
  <si>
    <t>901.617.533-1</t>
  </si>
  <si>
    <t>COMPAÑÍA COLOMBIANA DE CONSULTORES S.A.S.</t>
  </si>
  <si>
    <t>890.908.097-1</t>
  </si>
  <si>
    <t>CONSORCIO INTERVIAL SUR</t>
  </si>
  <si>
    <t>GINPROCOL S.A.S.</t>
  </si>
  <si>
    <t>REDTIC INGENIERIA S.A.S. – BIC.</t>
  </si>
  <si>
    <t>INGEPLAN.CO S.A.S. BIC</t>
  </si>
  <si>
    <t>901162700-0</t>
  </si>
  <si>
    <t>901628416-5</t>
  </si>
  <si>
    <t>800169622-1</t>
  </si>
  <si>
    <t>CONSORCIO CTE - ING APP CAUCA</t>
  </si>
  <si>
    <t>CONSORCIO CORREDOR EL ESTANQUILLO ITLSC</t>
  </si>
  <si>
    <t>CONSORCIO INTERAPP POPAYÁN</t>
  </si>
  <si>
    <t>CONSORCIO INTERVENTOR DE OCCIDENTE</t>
  </si>
  <si>
    <t>CONSORCIO ALIANZA PACIFICO</t>
  </si>
  <si>
    <t>CONSORCIO EPSILON CAUCA</t>
  </si>
  <si>
    <t>CONSULTORES TÉCNICOS Y ECONÓMICOS S.A.S. – CONSULTECNICOS</t>
  </si>
  <si>
    <t>860.014.285 - 3</t>
  </si>
  <si>
    <t>GEOTECNIA Y CIMIENTOS INGEOCIM POR ACCIONES SIMPLIFICADA – INGEOCIM S.A.S</t>
  </si>
  <si>
    <t>800.155.100 - 6</t>
  </si>
  <si>
    <t>INVELER CONSULTORIA SAS</t>
  </si>
  <si>
    <t>901.310.959-6</t>
  </si>
  <si>
    <t>SIGT INGENIEROS Y CONSULTORES S.A.S</t>
  </si>
  <si>
    <t>900.614.304-4</t>
  </si>
  <si>
    <t>TOMAS LLAVADOR ARQUITECTOS E INGENIEROS S.L. SUCURSAL COLOMBIA</t>
  </si>
  <si>
    <t>900.539.687-9</t>
  </si>
  <si>
    <t>TERRA PROYECTOS CIVILES S.A.S</t>
  </si>
  <si>
    <t>901.788.878-1</t>
  </si>
  <si>
    <t>COMPAÑIA DE PROYECTOS TECNICOS CPT S.A</t>
  </si>
  <si>
    <t>860.041.968-1</t>
  </si>
  <si>
    <t>VELNEC S.A.S.</t>
  </si>
  <si>
    <t>800028455-1</t>
  </si>
  <si>
    <t>GAVINCO INGENIEROS CONSULTORES S A S</t>
  </si>
  <si>
    <t>900916608-4</t>
  </si>
  <si>
    <t>Se realiza correccion aritmetica, aproximando al entero mas cercano</t>
  </si>
  <si>
    <t>SERVICIOS DE INTERVENTORÍA INTEGRAL S.A.S</t>
  </si>
  <si>
    <t>900.967.937-0</t>
  </si>
  <si>
    <t>AYESA INGENIERIA Y ARQUITECTURA SAU SUCURSAL COLOMBIA</t>
  </si>
  <si>
    <t>900.494.141.-4</t>
  </si>
  <si>
    <t>AYESA DE COLOMBIA INGENIERIA Y ARQUITECTURA S.A.S</t>
  </si>
  <si>
    <t>900.659.649-3</t>
  </si>
  <si>
    <t>El proponente no cumple con el indice de endeudamiento.</t>
  </si>
  <si>
    <t>J FELIPE ARDILA V &amp; CIA SAS</t>
  </si>
  <si>
    <t>INGEOBRAS CONSTRUCCION Y CONSULTORIA SAS INGEOBRAS SAS</t>
  </si>
  <si>
    <t>CB INGENIEROS SAS</t>
  </si>
  <si>
    <t>860354402-7</t>
  </si>
  <si>
    <t>824004441-2</t>
  </si>
  <si>
    <t>860509943-7</t>
  </si>
  <si>
    <t>PROYECTOS E INTERVENTORIAS S.A.S.</t>
  </si>
  <si>
    <t>INESAS</t>
  </si>
  <si>
    <t>860403102-3</t>
  </si>
  <si>
    <t>860034155-1</t>
  </si>
  <si>
    <t>CONSORCIO ESTANQUILLO POPAYÁN SU</t>
  </si>
  <si>
    <t>CONSORCIO ESTANQUILLO CLA</t>
  </si>
  <si>
    <t>CONSORCIO INTERVENTOR CONCESIÓN APP</t>
  </si>
  <si>
    <t>CONSORCIO CORREDOR CAUCA 3M</t>
  </si>
  <si>
    <t>CONSORCIO CONCESIÓN ESTANQUILLO AG</t>
  </si>
  <si>
    <t>CONSORCIO VIAS POPAYAN</t>
  </si>
  <si>
    <t>CONSORCIO APPLUS ANI 002</t>
  </si>
  <si>
    <t>CONSORCIO INTERVIAL RJ</t>
  </si>
  <si>
    <t>CONSORCIO EVOLUCION</t>
  </si>
  <si>
    <t>CONSORCIO INTERVENTOR ESTANQUILLO H-H</t>
  </si>
  <si>
    <t>CONSORCIO SURCOLOMBIA 002-26</t>
  </si>
  <si>
    <t>SERVINC SAS</t>
  </si>
  <si>
    <t>UG21 ENGINEERING S.A.S</t>
  </si>
  <si>
    <t>CANJI DISEÑOS E INTERVENTORIAS S.A.S</t>
  </si>
  <si>
    <t>LATINOCONSULT S.A.S.</t>
  </si>
  <si>
    <t>AQUA &amp; TERRA CONSULTORES ASOCIADOS S.A.S</t>
  </si>
  <si>
    <t>CAL Y MAYOR COLOMBIA S.A.S.</t>
  </si>
  <si>
    <t>CPS INFRAESTRUCTURAS MOVILIDAD Y MEDIO AMBIENTE SL SUCURSAL COLOMBIA</t>
  </si>
  <si>
    <t>MAB INGENIERÍA DE VALOR S.A.</t>
  </si>
  <si>
    <t>MAB SERVICIOS S.A.S.</t>
  </si>
  <si>
    <t>MAB INFRAESTRUCTURA S.A.S.</t>
  </si>
  <si>
    <t>AIRTIFICIAL CW INFRASTRUCTURES COLOMBIA S.A.S</t>
  </si>
  <si>
    <t>GÓMEZ CAJIAO Y ASOCIADOS S.A.S</t>
  </si>
  <si>
    <t>MIRS LATINOAMERICA S.A.S</t>
  </si>
  <si>
    <t>CONSTRUCTORA A&amp;C SOCIEDAD ANONIMA</t>
  </si>
  <si>
    <t>INGEANDINA CONSULTORES DE INGENIERIA S.A.S.</t>
  </si>
  <si>
    <t>APPLUS SERVICIOS INTEGRALES SAS</t>
  </si>
  <si>
    <t>FJB INGENIERIA SAS</t>
  </si>
  <si>
    <t>R&amp;Q INGENIERIA COLOMBIA SA</t>
  </si>
  <si>
    <t>JOYCO S.A.S. BIC</t>
  </si>
  <si>
    <t>INGENIEROS CIVILES ESPECIALISTAS S.A.S.</t>
  </si>
  <si>
    <t>INGENIERÍA DE PROYECTOS S.A.S</t>
  </si>
  <si>
    <t>HMV SERVICIOS S.A.S</t>
  </si>
  <si>
    <t>HMV SOLUCIONES S.A.S</t>
  </si>
  <si>
    <t>HMV CONSULTORIA S.A.S</t>
  </si>
  <si>
    <t>CONSORCIO CAUCA  MIP</t>
  </si>
  <si>
    <t>CONSORCIO PIVICSA POPAYAN</t>
  </si>
  <si>
    <t>CONSORCIO INTERVENTOR VIAL</t>
  </si>
  <si>
    <t>CONSORCIO ID ESTANQUILLO POPAYAN</t>
  </si>
  <si>
    <t>CONSORCIO TG ESTANQUILLO POPAYAN</t>
  </si>
  <si>
    <t>CONSORCIO CONCESION ESTANQUILLO-POPAYAN</t>
  </si>
  <si>
    <t>CONSORCIO CORREDOR EP 2026</t>
  </si>
  <si>
    <t>C. DEL SUR SEG - SAITEC - INCOPLAN**</t>
  </si>
  <si>
    <t>CONSORCIO CONEXIÓN POPAYÁN</t>
  </si>
  <si>
    <t xml:space="preserve">JAHV MCGREGOR SAS </t>
  </si>
  <si>
    <t>GRUPO POSSO SAS</t>
  </si>
  <si>
    <t xml:space="preserve">JOSE MANUEL GUARDO POLO </t>
  </si>
  <si>
    <t xml:space="preserve">META ENGINEERING S.A. </t>
  </si>
  <si>
    <t xml:space="preserve">INTERPRO S.A.S. (LÍDER) </t>
  </si>
  <si>
    <t xml:space="preserve">PROCONSULTING S.A.S. </t>
  </si>
  <si>
    <t xml:space="preserve">El proponente no alcanza el umbral mínimo de solvencia exigido en el proceso de selección.  Al presentar un Capital de Trabajo inferior al requerido. Debe subsanar el formato #2 Conformacion de proponente plural </t>
  </si>
  <si>
    <t>I V INGENIEROS CONSULTORES S A</t>
  </si>
  <si>
    <t>PROYECTOS CONSTRUCCIONES CIVILES Y VIALES SAS-PIV INGENIERIA SAS</t>
  </si>
  <si>
    <t>ESTUDIOS TÈCNICOS S.A.S.</t>
  </si>
  <si>
    <t>SIGA INGENIERÌA Y CONSULTORÌA S.A. SUCURSAL COLOMBIA</t>
  </si>
  <si>
    <t>GRUPO INTECON S.A.S.</t>
  </si>
  <si>
    <t xml:space="preserve">Debe subsanar el formato # 2 conformacion de proponente plural </t>
  </si>
  <si>
    <t>INTERVENTORIAS Y DISEÑOS S.A. – INTERDISEÑOS</t>
  </si>
  <si>
    <t>INTERDISEÑOS ASOCIADOS S.A.S.</t>
  </si>
  <si>
    <t xml:space="preserve">GRUPO METRO COLOMBIA SAS </t>
  </si>
  <si>
    <t>TRIADA MEXICO COLOMBIA</t>
  </si>
  <si>
    <t xml:space="preserve">AFA CONSULTORES Y CONSTRUCTORES S. A </t>
  </si>
  <si>
    <t xml:space="preserve">INTECON CONSULTORES S.A.S </t>
  </si>
  <si>
    <t xml:space="preserve">CUMPLE </t>
  </si>
  <si>
    <t>El proponente no alcanza el umbral mínimo de solvencia exigido en el proceso de selección. Al presentar un Capital de Trabajo inferior al requerido, existe una insuficiencia de $174.408.475 para garantizar la liquidez operativa necesaria durante la ejecución del contrato.
Por lo anterior, el proponente se califica como NO CUMPLE en el componente de capacidad financiera, al no ajustarse a las condiciones establecidas en el pliego de condiciones.</t>
  </si>
  <si>
    <t>DF CONSULTORIA SAS</t>
  </si>
  <si>
    <t>JORGE PIDDO SEGUIDO DE LA EXPRESIÓN SUCURSAL COLOMBIA</t>
  </si>
  <si>
    <t>CONSULTORES DONOVAN SAS</t>
  </si>
  <si>
    <t>INGENIERÍA CONSULTORÍA Y PLANEACIÓN S.A</t>
  </si>
  <si>
    <t>SAITEC S.A SUCURSAL EN COLOMBIA</t>
  </si>
  <si>
    <t>SEG GEOTECNIA Y CONTROL DE CALIDAD SAS</t>
  </si>
  <si>
    <t xml:space="preserve">DIRAC INGENIEROS CONSULTORES S.A.S </t>
  </si>
  <si>
    <t xml:space="preserve">REMAR INGENIERIA SAS </t>
  </si>
  <si>
    <t>INGENIERIA MASTER S.A.S</t>
  </si>
  <si>
    <t>CONSORCIO CORREDOR SUR</t>
  </si>
  <si>
    <t>CONSORCIO ESTANQUILLO SCD</t>
  </si>
  <si>
    <t>CONSORCIO GIS INFRAVISIÓN PACÍFICO</t>
  </si>
  <si>
    <t>CONSORCIO INTERVENTOR ESTANQUILLO I</t>
  </si>
  <si>
    <t>CONSORCIO STC CORREDOR EP</t>
  </si>
  <si>
    <t>CONSORCIO INTERVENTORES PED ESTANQUILLO</t>
  </si>
  <si>
    <t>CONSORCIO POPAYÁN AR</t>
  </si>
  <si>
    <t xml:space="preserve">CONSORCIO RUTA NACIONAL DEL SUR </t>
  </si>
  <si>
    <t>CONSORCIO TPF CONEXION POPAYAN</t>
  </si>
  <si>
    <t>CONSORCIO A1V2-SCAIN</t>
  </si>
  <si>
    <t>CONSORCIO CORREDOR POPAYÁN ECI</t>
  </si>
  <si>
    <t>SEDIC S.A.</t>
  </si>
  <si>
    <t>SEDIC CONSULTING S.A.S</t>
  </si>
  <si>
    <t>GAB INGENIERÍA S.A.S.</t>
  </si>
  <si>
    <t>SILVA CARREÑO Y ASOCIADOS S.A.S</t>
  </si>
  <si>
    <t>CONURMA INGENIEROS CONSULTORES SL SUCURSAL
COLOMBIA</t>
  </si>
  <si>
    <t>DOHWA COLOMBIA S.A.S</t>
  </si>
  <si>
    <t>GIS-EAP S.A.S.</t>
  </si>
  <si>
    <t>GESTIÓN INTEGRAL DEL SUELO SL
COLOMBIA</t>
  </si>
  <si>
    <t>EGIS CONSULTORIA S.A.S</t>
  </si>
  <si>
    <t>BB CONSULTORA SAS</t>
  </si>
  <si>
    <t>INCOSA SUCURSAL COLOMBIA</t>
  </si>
  <si>
    <t>"De acuerdo con lo establecido en el numeral 3.3 “Capacidad Financiera y Organizacional” del Anexo Complementario al Pliego de Condiciones, los proponentes deben acreditar el cumplimiento de los indicadores financieros exigidos para el presente proceso, dentro de los cuales se encuentra el capital de trabajo mínimo requerido.
Revisada la información financiera aportada por el CONSORCIO STC CORREDOR EP, se evidenció que no cumple con el capital de trabajo exigido; el Proponente acredita un capital de trabajo inferior al establecido en el pliego de condiciones.
En consecuencia, el Proponente no cumple con la capacidad financiera, específicamente en el indicador de capital de trabajo."</t>
  </si>
  <si>
    <t>SESAC SA</t>
  </si>
  <si>
    <t xml:space="preserve">TRANSCONSULT SUCURSAL COLOMBIA </t>
  </si>
  <si>
    <t>COPEBA SAS</t>
  </si>
  <si>
    <t>PROGIN COLOMBIA</t>
  </si>
  <si>
    <t>EPYPSA S.A.S</t>
  </si>
  <si>
    <t>DESARROLLO TECNOLOGIA Y PLANEACION COLOMBIA S.A.S</t>
  </si>
  <si>
    <t>RESTREPO Y URIBE S.A.S</t>
  </si>
  <si>
    <t>CONSULTORES EN INGENIERIA S.A.S</t>
  </si>
  <si>
    <t>ACI PROYECTOS S.A.S</t>
  </si>
  <si>
    <t>INGERTECOL S.A.S. – BIC</t>
  </si>
  <si>
    <t>NO CUMPLE</t>
  </si>
  <si>
    <t>De conformidad con lo establecido en el Capítulo V – Propuesta Económica, numeral 5.1.1 “Lista de Precios de Referencia”, del Anexo Complementario al Pliego de Condiciones, se precisa que los valores ofertados no podrán exceder los montos definidos y deberán presentarse incluyendo el IVA, de forma que cada ítem refleje el valor total con impuesto incluido.
Revisada la propuesta económica del CONSORCIO RUTA NACIONAL DEL SUR, se evidenció que los valores presentados corresponden a los valores de referencia sin IVA, incumpliendo lo exigido en el proceso.
En consecuencia, se requiere al proponente para que, en los términos del numeral 1.6 del Pliego de Condiciones, subsane su propuesta económica, ajustando los valores a lo establecido e incluyendo el IVA correspondiente.</t>
  </si>
  <si>
    <t>SALGADO MELÉNDEZ Y ASOCIADOS  INGENIEROS CONSULTORES SAS</t>
  </si>
  <si>
    <t>SALGADO MELENDEZ INGENIERIA SAS</t>
  </si>
  <si>
    <t>TPF GETINSA EUROESTUDIOS COLOMBIA</t>
  </si>
  <si>
    <t>EUROESTUDIOS INGENIEROS DE CONSULTA S</t>
  </si>
  <si>
    <t>De conformidad con lo establecido en el numeral 5.1 “Oferta Económica” del Pliego de Condiciones, se evidenció que el proponente no presentó la propuesta económica requerida para el presente proceso.
En consecuencia, se requiere al proponente para que, en los términos del numeral 1.6 del Pliego de Condiciones, subsane dicha omisión, allegando la oferta económica conforme a las condiciones y requisitos establecidos en el referido numeral.</t>
  </si>
  <si>
    <t>A1V2 INGENIERÍA CIVIL Y ARQUITECTURA COLOMBIA S.A.S</t>
  </si>
  <si>
    <t>SCAIN ADMINISTRACIÓN E INGENIERÍA SAS</t>
  </si>
  <si>
    <t>De acuerdo con lo establecido en el numeral 3.3 “Capacidad Financiera y Organizacional” del Anexo Complementario al Pliego de Condiciones, los proponentes deben acreditar la capacidad financiera y organizacional mediante la presentación del Registro Único de Proponentes – RUP vigente y en firme para cada uno de los integrantes del proponente plural.
Revisada la documentación aportada por el CONSORCIO CORREDOR POPAYÁN ECI, se evidenció que la empresa INGENIERIA Y CONSULTORIA INGECON SAS., integrante del consorcio, aportó un RUP con más de 30 dias de vigencia.
En atención a lo anterior, y conforme con lo dispuesto en el numeral 1.6 “Reglas de Subsanabilidad, Explicaciones y Aclaraciones” del Pliego de Condiciones, se solicita al Proponente subsanar la documentación, aportando el RUP vigente y en firme de la empresa INGENIERIA Y CONSULTORIA INGECON SAS., de acuerdo con las disposiciones aplicables al presente proceso.</t>
  </si>
  <si>
    <t>INGENIERIA Y CONSULTORIA INGECON SAS</t>
  </si>
  <si>
    <t>ECG INGENIERIA SAS</t>
  </si>
  <si>
    <t>CONSULTORIA INTEGRAL EN INGENIERIA SA de CV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</si>
</sst>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8" formatCode="&quot;$&quot;\ #,##0.00;[Red]\-&quot;$&quot;\ #,##0.00"/>
    <numFmt numFmtId="44" formatCode="_-&quot;$&quot;\ * #,##0.00_-;\-&quot;$&quot;\ * #,##0.00_-;_-&quot;$&quot;\ * &quot;-&quot;??_-;_-@_-"/>
    <numFmt numFmtId="43" formatCode="_-* #,##0.00_-;\-* #,##0.00_-;_-* &quot;-&quot;??_-;_-@_-"/>
    <numFmt numFmtId="165" formatCode="_ * #,##0_ ;_ * \-#,##0_ ;_ * &quot;-&quot;_ ;_ @_ "/>
    <numFmt numFmtId="167" formatCode="_ * #,##0.0_ ;_ * \-#,##0.0_ ;_ * &quot;-&quot;??_ ;_ @_ "/>
    <numFmt numFmtId="168" formatCode="dd/mm/yyyy;@"/>
    <numFmt numFmtId="169" formatCode="_-&quot;$&quot;\ * #,##0_-;\-&quot;$&quot;\ * #,##0_-;_-&quot;$&quot;\ * &quot;-&quot;??_-;_-@_-"/>
    <numFmt numFmtId="170" formatCode="_-* #,##0_-;\-* #,##0_-;_-* &quot;-&quot;??_-;_-@_-"/>
    <numFmt numFmtId="171" formatCode="0.0%"/>
  </numFmts>
  <fonts count="20" x14ac:knownFonts="1">
    <font>
      <sz val="11"/>
      <color theme="1"/>
      <name val="Calibri"/>
      <family val="2"/>
      <scheme val="minor"/>
    </font>
    <font>
      <sz val="11"/>
      <color theme="1"/>
      <name val="Calibri"/>
      <family val="2"/>
      <scheme val="minor"/>
    </font>
    <font>
      <sz val="11"/>
      <color theme="1"/>
      <name val="Arial Narrow"/>
      <family val="2"/>
    </font>
    <font>
      <b/>
      <sz val="10"/>
      <name val="Arial Narrow"/>
      <family val="2"/>
    </font>
    <font>
      <b/>
      <sz val="9"/>
      <name val="Arial Narrow"/>
      <family val="2"/>
    </font>
    <font>
      <b/>
      <sz val="11"/>
      <color theme="1"/>
      <name val="Arial Narrow"/>
      <family val="2"/>
    </font>
    <font>
      <b/>
      <sz val="11"/>
      <name val="Arial Narrow"/>
      <family val="2"/>
    </font>
    <font>
      <sz val="9"/>
      <color theme="2" tint="-0.499984740745262"/>
      <name val="Arial Narrow"/>
      <family val="2"/>
    </font>
    <font>
      <sz val="9"/>
      <color theme="2" tint="-0.499984740745262"/>
      <name val="Arial"/>
      <family val="2"/>
    </font>
    <font>
      <b/>
      <sz val="9"/>
      <color theme="1"/>
      <name val="Arial Narrow"/>
      <family val="2"/>
    </font>
    <font>
      <b/>
      <sz val="10"/>
      <color theme="1"/>
      <name val="Arial Narrow"/>
      <family val="2"/>
    </font>
    <font>
      <b/>
      <sz val="12"/>
      <color theme="1"/>
      <name val="Arial Narrow"/>
      <family val="2"/>
    </font>
    <font>
      <b/>
      <sz val="24"/>
      <color theme="1"/>
      <name val="Arial Narrow"/>
      <family val="2"/>
    </font>
    <font>
      <b/>
      <sz val="24"/>
      <color theme="8" tint="-0.499984740745262"/>
      <name val="Arial Narrow"/>
      <family val="2"/>
    </font>
    <font>
      <b/>
      <sz val="8"/>
      <color theme="1"/>
      <name val="Arial Narrow"/>
      <family val="2"/>
    </font>
    <font>
      <sz val="11"/>
      <color rgb="FF000000"/>
      <name val="Calibri"/>
      <family val="2"/>
    </font>
    <font>
      <b/>
      <sz val="11"/>
      <color theme="1"/>
      <name val="Calibri"/>
      <family val="2"/>
      <scheme val="minor"/>
    </font>
    <font>
      <sz val="10"/>
      <name val="Arial"/>
      <family val="2"/>
    </font>
    <font>
      <sz val="9"/>
      <color rgb="FFFF0000"/>
      <name val="Arial Narrow"/>
      <family val="2"/>
    </font>
    <font>
      <sz val="11"/>
      <color theme="0"/>
      <name val="Calibri"/>
      <family val="2"/>
      <scheme val="minor"/>
    </font>
  </fonts>
  <fills count="10">
    <fill>
      <patternFill patternType="none"/>
    </fill>
    <fill>
      <patternFill patternType="gray125"/>
    </fill>
    <fill>
      <patternFill patternType="solid">
        <fgColor theme="7" tint="0.5999938962981048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6DD"/>
        <bgColor indexed="64"/>
      </patternFill>
    </fill>
    <fill>
      <patternFill patternType="solid">
        <fgColor theme="3" tint="0.59999389629810485"/>
        <bgColor indexed="64"/>
      </patternFill>
    </fill>
    <fill>
      <patternFill patternType="solid">
        <fgColor rgb="FFFFCC66"/>
        <bgColor indexed="64"/>
      </patternFill>
    </fill>
    <fill>
      <patternFill patternType="solid">
        <fgColor theme="4" tint="0.59999389629810485"/>
        <bgColor indexed="64"/>
      </patternFill>
    </fill>
    <fill>
      <patternFill patternType="solid">
        <fgColor theme="3" tint="0.79998168889431442"/>
        <bgColor indexed="64"/>
      </patternFill>
    </fill>
  </fills>
  <borders count="21">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bottom/>
      <diagonal/>
    </border>
    <border>
      <left/>
      <right style="thin">
        <color theme="0" tint="-0.499984740745262"/>
      </right>
      <top/>
      <bottom/>
      <diagonal/>
    </border>
    <border>
      <left style="thin">
        <color theme="2" tint="-0.499984740745262"/>
      </left>
      <right style="thin">
        <color theme="2" tint="-0.499984740745262"/>
      </right>
      <top style="thin">
        <color theme="2" tint="-0.499984740745262"/>
      </top>
      <bottom style="thin">
        <color theme="2" tint="-0.499984740745262"/>
      </bottom>
      <diagonal/>
    </border>
    <border>
      <left/>
      <right style="thin">
        <color theme="2" tint="-0.499984740745262"/>
      </right>
      <top style="thin">
        <color theme="2" tint="-0.499984740745262"/>
      </top>
      <bottom style="thin">
        <color theme="2" tint="-0.499984740745262"/>
      </bottom>
      <diagonal/>
    </border>
    <border>
      <left style="thin">
        <color indexed="64"/>
      </left>
      <right style="thin">
        <color indexed="64"/>
      </right>
      <top style="thin">
        <color indexed="64"/>
      </top>
      <bottom style="thin">
        <color indexed="64"/>
      </bottom>
      <diagonal/>
    </border>
    <border>
      <left style="thin">
        <color theme="2" tint="-0.499984740745262"/>
      </left>
      <right/>
      <top style="thin">
        <color theme="2" tint="-0.499984740745262"/>
      </top>
      <bottom style="thin">
        <color theme="2" tint="-0.499984740745262"/>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7" fillId="0" borderId="0"/>
  </cellStyleXfs>
  <cellXfs count="158">
    <xf numFmtId="0" fontId="0" fillId="0" borderId="0" xfId="0"/>
    <xf numFmtId="0" fontId="2" fillId="0" borderId="0" xfId="0" applyFont="1"/>
    <xf numFmtId="0" fontId="5" fillId="0" borderId="0" xfId="0" applyFont="1"/>
    <xf numFmtId="16" fontId="2" fillId="0" borderId="0" xfId="0" applyNumberFormat="1" applyFont="1" applyAlignment="1">
      <alignment horizontal="center"/>
    </xf>
    <xf numFmtId="0" fontId="2" fillId="0" borderId="0" xfId="0" applyFont="1" applyAlignment="1">
      <alignment vertical="center"/>
    </xf>
    <xf numFmtId="0" fontId="7" fillId="0" borderId="0" xfId="0" applyFont="1" applyAlignment="1">
      <alignment vertical="center"/>
    </xf>
    <xf numFmtId="0" fontId="5" fillId="0" borderId="0" xfId="0" applyFont="1" applyAlignment="1">
      <alignment horizontal="center" vertical="center"/>
    </xf>
    <xf numFmtId="168" fontId="5" fillId="3" borderId="1" xfId="0" applyNumberFormat="1" applyFont="1" applyFill="1" applyBorder="1" applyAlignment="1">
      <alignment horizontal="center" vertical="center"/>
    </xf>
    <xf numFmtId="16" fontId="2" fillId="0" borderId="0" xfId="0" applyNumberFormat="1" applyFont="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10" fillId="0" borderId="0" xfId="0" applyFont="1" applyAlignment="1">
      <alignment vertical="center" wrapText="1"/>
    </xf>
    <xf numFmtId="0" fontId="4" fillId="7" borderId="1" xfId="0" quotePrefix="1" applyFont="1" applyFill="1" applyBorder="1" applyAlignment="1">
      <alignment horizontal="center" vertical="center" wrapText="1"/>
    </xf>
    <xf numFmtId="0" fontId="4" fillId="7" borderId="1" xfId="0" quotePrefix="1" applyFont="1" applyFill="1" applyBorder="1" applyAlignment="1">
      <alignment vertical="center" wrapText="1"/>
    </xf>
    <xf numFmtId="9" fontId="3" fillId="4" borderId="1" xfId="0" applyNumberFormat="1" applyFont="1" applyFill="1" applyBorder="1" applyAlignment="1">
      <alignment vertical="center" wrapText="1"/>
    </xf>
    <xf numFmtId="167" fontId="4" fillId="4" borderId="1" xfId="1" applyNumberFormat="1" applyFont="1" applyFill="1" applyBorder="1" applyAlignment="1">
      <alignment horizontal="center" vertical="center"/>
    </xf>
    <xf numFmtId="0" fontId="5" fillId="7" borderId="1" xfId="0" applyFont="1" applyFill="1" applyBorder="1" applyAlignment="1">
      <alignment vertical="center"/>
    </xf>
    <xf numFmtId="0" fontId="5" fillId="7" borderId="2" xfId="0" applyFont="1" applyFill="1" applyBorder="1" applyAlignment="1">
      <alignment vertical="center"/>
    </xf>
    <xf numFmtId="0" fontId="10" fillId="7" borderId="1" xfId="0" applyFont="1" applyFill="1" applyBorder="1" applyAlignment="1">
      <alignment vertical="center" wrapText="1"/>
    </xf>
    <xf numFmtId="0" fontId="5" fillId="7" borderId="7" xfId="0" applyFont="1" applyFill="1" applyBorder="1" applyAlignment="1">
      <alignment horizontal="center" vertical="center" wrapText="1"/>
    </xf>
    <xf numFmtId="0" fontId="5" fillId="7" borderId="7" xfId="0" applyFont="1" applyFill="1" applyBorder="1" applyAlignment="1">
      <alignment horizontal="center" vertical="center"/>
    </xf>
    <xf numFmtId="0" fontId="2" fillId="5" borderId="8" xfId="0" applyFont="1" applyFill="1" applyBorder="1"/>
    <xf numFmtId="0" fontId="2" fillId="5" borderId="9" xfId="0" applyFont="1" applyFill="1" applyBorder="1"/>
    <xf numFmtId="0" fontId="2" fillId="5" borderId="10" xfId="0" applyFont="1" applyFill="1" applyBorder="1"/>
    <xf numFmtId="0" fontId="2" fillId="5" borderId="15" xfId="0" applyFont="1" applyFill="1" applyBorder="1"/>
    <xf numFmtId="0" fontId="2" fillId="5" borderId="0" xfId="0" applyFont="1" applyFill="1"/>
    <xf numFmtId="0" fontId="2" fillId="5" borderId="16" xfId="0" applyFont="1" applyFill="1" applyBorder="1"/>
    <xf numFmtId="0" fontId="2" fillId="5" borderId="12" xfId="0" applyFont="1" applyFill="1" applyBorder="1"/>
    <xf numFmtId="0" fontId="2" fillId="5" borderId="13" xfId="0" applyFont="1" applyFill="1" applyBorder="1"/>
    <xf numFmtId="0" fontId="2" fillId="5" borderId="14" xfId="0" applyFont="1" applyFill="1" applyBorder="1"/>
    <xf numFmtId="1" fontId="6" fillId="9" borderId="11" xfId="1" applyNumberFormat="1" applyFont="1" applyFill="1" applyBorder="1" applyAlignment="1">
      <alignment horizontal="center" vertical="center" wrapText="1"/>
    </xf>
    <xf numFmtId="168" fontId="5" fillId="2" borderId="11" xfId="0" applyNumberFormat="1" applyFont="1" applyFill="1" applyBorder="1" applyAlignment="1">
      <alignment horizontal="center" vertical="center"/>
    </xf>
    <xf numFmtId="0" fontId="5" fillId="2" borderId="11" xfId="0" applyFont="1" applyFill="1" applyBorder="1" applyAlignment="1">
      <alignment horizontal="center" vertical="center"/>
    </xf>
    <xf numFmtId="44" fontId="5" fillId="9" borderId="11" xfId="2" applyFont="1" applyFill="1" applyBorder="1" applyAlignment="1">
      <alignment vertical="center"/>
    </xf>
    <xf numFmtId="44" fontId="5" fillId="2" borderId="11" xfId="2" applyFont="1" applyFill="1" applyBorder="1" applyAlignment="1">
      <alignment vertical="center"/>
    </xf>
    <xf numFmtId="44" fontId="5" fillId="9" borderId="11" xfId="0" applyNumberFormat="1" applyFont="1" applyFill="1" applyBorder="1" applyAlignment="1">
      <alignment vertical="center"/>
    </xf>
    <xf numFmtId="0" fontId="5" fillId="9" borderId="11" xfId="0" applyFont="1" applyFill="1" applyBorder="1" applyAlignment="1">
      <alignment horizontal="center" vertical="center"/>
    </xf>
    <xf numFmtId="0" fontId="5" fillId="2" borderId="11" xfId="0" applyFont="1" applyFill="1" applyBorder="1" applyAlignment="1">
      <alignment vertical="center"/>
    </xf>
    <xf numFmtId="0" fontId="7" fillId="4" borderId="11" xfId="0" applyFont="1" applyFill="1" applyBorder="1" applyAlignment="1">
      <alignment horizontal="center" vertical="center" wrapText="1"/>
    </xf>
    <xf numFmtId="0" fontId="8" fillId="0" borderId="11" xfId="0" applyFont="1" applyBorder="1" applyAlignment="1">
      <alignment horizontal="left" vertical="center" wrapText="1"/>
    </xf>
    <xf numFmtId="1" fontId="7" fillId="0" borderId="11" xfId="1" applyNumberFormat="1" applyFont="1" applyBorder="1" applyAlignment="1">
      <alignment vertical="center"/>
    </xf>
    <xf numFmtId="9" fontId="7" fillId="0" borderId="11" xfId="3" applyFont="1" applyFill="1" applyBorder="1" applyAlignment="1">
      <alignment horizontal="center" vertical="center" wrapText="1"/>
    </xf>
    <xf numFmtId="1" fontId="7" fillId="0" borderId="11" xfId="1" applyNumberFormat="1" applyFont="1" applyFill="1" applyBorder="1" applyAlignment="1">
      <alignment horizontal="center" vertical="center" wrapText="1"/>
    </xf>
    <xf numFmtId="168" fontId="7" fillId="0" borderId="11" xfId="0" applyNumberFormat="1" applyFont="1" applyBorder="1" applyAlignment="1">
      <alignment vertical="center"/>
    </xf>
    <xf numFmtId="44" fontId="7" fillId="0" borderId="11" xfId="2" applyFont="1" applyBorder="1" applyAlignment="1">
      <alignment vertical="center"/>
    </xf>
    <xf numFmtId="0" fontId="7" fillId="0" borderId="11" xfId="0" applyFont="1" applyBorder="1" applyAlignment="1">
      <alignment horizontal="center" vertical="center"/>
    </xf>
    <xf numFmtId="0" fontId="7" fillId="0" borderId="11" xfId="0" applyFont="1" applyBorder="1" applyAlignment="1">
      <alignment horizontal="center" vertical="center" wrapText="1"/>
    </xf>
    <xf numFmtId="0" fontId="7" fillId="0" borderId="11" xfId="0" applyFont="1" applyBorder="1" applyAlignment="1">
      <alignment vertical="center"/>
    </xf>
    <xf numFmtId="44" fontId="7" fillId="0" borderId="11" xfId="2" applyFont="1" applyFill="1" applyBorder="1" applyAlignment="1">
      <alignment vertical="center"/>
    </xf>
    <xf numFmtId="0" fontId="6" fillId="7" borderId="5" xfId="0" applyFont="1" applyFill="1" applyBorder="1" applyAlignment="1">
      <alignment horizontal="center" vertical="center"/>
    </xf>
    <xf numFmtId="169" fontId="3" fillId="7" borderId="1" xfId="2" applyNumberFormat="1" applyFont="1" applyFill="1" applyBorder="1" applyAlignment="1">
      <alignment vertical="center" wrapText="1"/>
    </xf>
    <xf numFmtId="169" fontId="6" fillId="9" borderId="11" xfId="2" applyNumberFormat="1" applyFont="1" applyFill="1" applyBorder="1" applyAlignment="1">
      <alignment horizontal="center" vertical="center" wrapText="1"/>
    </xf>
    <xf numFmtId="0" fontId="2" fillId="0" borderId="8" xfId="0" applyFont="1" applyBorder="1" applyAlignment="1">
      <alignment vertical="center"/>
    </xf>
    <xf numFmtId="0" fontId="2" fillId="0" borderId="2" xfId="0" applyFont="1" applyBorder="1" applyAlignment="1">
      <alignment vertical="center"/>
    </xf>
    <xf numFmtId="0" fontId="5" fillId="7" borderId="6" xfId="0" applyFont="1" applyFill="1" applyBorder="1" applyAlignment="1">
      <alignment horizontal="center" vertical="center"/>
    </xf>
    <xf numFmtId="0" fontId="5" fillId="7" borderId="6" xfId="0" applyFont="1" applyFill="1" applyBorder="1" applyAlignment="1">
      <alignment horizontal="center" vertical="center" wrapText="1"/>
    </xf>
    <xf numFmtId="170" fontId="2" fillId="0" borderId="17" xfId="1" applyNumberFormat="1" applyFont="1" applyBorder="1" applyAlignment="1">
      <alignment horizontal="right" vertical="center"/>
    </xf>
    <xf numFmtId="0" fontId="2" fillId="0" borderId="17" xfId="0" applyFont="1" applyBorder="1" applyAlignment="1">
      <alignment vertical="center"/>
    </xf>
    <xf numFmtId="43" fontId="2" fillId="0" borderId="17" xfId="1" applyFont="1" applyBorder="1" applyAlignment="1">
      <alignment horizontal="right" vertical="center"/>
    </xf>
    <xf numFmtId="0" fontId="2" fillId="0" borderId="17" xfId="0" applyFont="1" applyBorder="1" applyAlignment="1">
      <alignment horizontal="center" vertical="center"/>
    </xf>
    <xf numFmtId="169" fontId="2" fillId="0" borderId="0" xfId="2" applyNumberFormat="1" applyFont="1" applyAlignment="1">
      <alignment vertical="center"/>
    </xf>
    <xf numFmtId="0" fontId="5" fillId="2" borderId="17" xfId="0" applyFont="1" applyFill="1" applyBorder="1" applyAlignment="1">
      <alignment horizontal="center" vertical="center"/>
    </xf>
    <xf numFmtId="0" fontId="6" fillId="2" borderId="11" xfId="0" applyFont="1" applyFill="1" applyBorder="1" applyAlignment="1">
      <alignment horizontal="center" vertical="center" wrapText="1"/>
    </xf>
    <xf numFmtId="0" fontId="6" fillId="2" borderId="11" xfId="3" applyNumberFormat="1" applyFont="1" applyFill="1" applyBorder="1" applyAlignment="1">
      <alignment horizontal="left" vertical="center" wrapText="1"/>
    </xf>
    <xf numFmtId="1" fontId="6" fillId="2" borderId="11" xfId="1" applyNumberFormat="1" applyFont="1" applyFill="1" applyBorder="1" applyAlignment="1">
      <alignment horizontal="center" vertical="center" wrapText="1"/>
    </xf>
    <xf numFmtId="9" fontId="6" fillId="2" borderId="11" xfId="3" applyFont="1" applyFill="1" applyBorder="1" applyAlignment="1">
      <alignment horizontal="center" vertical="center" wrapText="1"/>
    </xf>
    <xf numFmtId="169" fontId="7" fillId="0" borderId="11" xfId="2" applyNumberFormat="1" applyFont="1" applyFill="1" applyBorder="1" applyAlignment="1">
      <alignment horizontal="center" vertical="center" wrapText="1"/>
    </xf>
    <xf numFmtId="169" fontId="7" fillId="0" borderId="11" xfId="2" applyNumberFormat="1" applyFont="1" applyBorder="1" applyAlignment="1">
      <alignment vertical="center"/>
    </xf>
    <xf numFmtId="44" fontId="7" fillId="0" borderId="11" xfId="2" applyFont="1" applyBorder="1" applyAlignment="1">
      <alignment horizontal="center" vertical="center"/>
    </xf>
    <xf numFmtId="169" fontId="5" fillId="3" borderId="1" xfId="2" applyNumberFormat="1" applyFont="1" applyFill="1" applyBorder="1" applyAlignment="1">
      <alignment horizontal="center" vertical="center"/>
    </xf>
    <xf numFmtId="44" fontId="2" fillId="0" borderId="0" xfId="2" applyFont="1" applyAlignment="1">
      <alignment vertical="center"/>
    </xf>
    <xf numFmtId="44" fontId="2" fillId="0" borderId="17" xfId="2" applyFont="1" applyBorder="1" applyAlignment="1">
      <alignment vertical="center"/>
    </xf>
    <xf numFmtId="0" fontId="2" fillId="0" borderId="0" xfId="0" applyFont="1" applyAlignment="1">
      <alignment horizontal="center" vertical="center"/>
    </xf>
    <xf numFmtId="44" fontId="5" fillId="7" borderId="6" xfId="2" applyFont="1" applyFill="1" applyBorder="1" applyAlignment="1">
      <alignment horizontal="center" vertical="center" wrapText="1"/>
    </xf>
    <xf numFmtId="169" fontId="5" fillId="3" borderId="1" xfId="0" applyNumberFormat="1" applyFont="1" applyFill="1" applyBorder="1" applyAlignment="1">
      <alignment horizontal="center" vertical="center"/>
    </xf>
    <xf numFmtId="169" fontId="5" fillId="2" borderId="11" xfId="0" applyNumberFormat="1" applyFont="1" applyFill="1" applyBorder="1" applyAlignment="1">
      <alignment horizontal="center" vertical="center"/>
    </xf>
    <xf numFmtId="169" fontId="5" fillId="7" borderId="11" xfId="2" applyNumberFormat="1" applyFont="1" applyFill="1" applyBorder="1" applyAlignment="1">
      <alignment horizontal="center" vertical="center"/>
    </xf>
    <xf numFmtId="169" fontId="5" fillId="0" borderId="0" xfId="2" applyNumberFormat="1" applyFont="1" applyAlignment="1">
      <alignment vertical="center"/>
    </xf>
    <xf numFmtId="169" fontId="5" fillId="0" borderId="0" xfId="2" applyNumberFormat="1" applyFont="1" applyAlignment="1">
      <alignment horizontal="center" vertical="center"/>
    </xf>
    <xf numFmtId="169" fontId="5" fillId="7" borderId="6" xfId="2" applyNumberFormat="1" applyFont="1" applyFill="1" applyBorder="1" applyAlignment="1">
      <alignment horizontal="center" vertical="center"/>
    </xf>
    <xf numFmtId="169" fontId="2" fillId="0" borderId="2" xfId="2" applyNumberFormat="1" applyFont="1" applyBorder="1" applyAlignment="1">
      <alignment vertical="center"/>
    </xf>
    <xf numFmtId="169" fontId="2" fillId="0" borderId="17" xfId="2" applyNumberFormat="1" applyFont="1" applyBorder="1" applyAlignment="1">
      <alignment vertical="center"/>
    </xf>
    <xf numFmtId="9" fontId="11" fillId="0" borderId="0" xfId="3" applyFont="1" applyFill="1" applyBorder="1" applyAlignment="1">
      <alignment horizontal="center" vertical="center"/>
    </xf>
    <xf numFmtId="10" fontId="2" fillId="0" borderId="0" xfId="3" applyNumberFormat="1" applyFont="1" applyAlignment="1">
      <alignment vertical="center"/>
    </xf>
    <xf numFmtId="44" fontId="2" fillId="0" borderId="0" xfId="2" applyFont="1"/>
    <xf numFmtId="0" fontId="2" fillId="0" borderId="4" xfId="0" applyFont="1" applyBorder="1" applyAlignment="1">
      <alignment vertical="center"/>
    </xf>
    <xf numFmtId="6" fontId="16" fillId="0" borderId="0" xfId="0" applyNumberFormat="1" applyFont="1"/>
    <xf numFmtId="171" fontId="4" fillId="4" borderId="1" xfId="3" applyNumberFormat="1" applyFont="1" applyFill="1" applyBorder="1" applyAlignment="1">
      <alignment horizontal="center" vertical="center"/>
    </xf>
    <xf numFmtId="0" fontId="2" fillId="0" borderId="2" xfId="0" applyFont="1" applyBorder="1" applyAlignment="1">
      <alignment vertical="center" wrapText="1"/>
    </xf>
    <xf numFmtId="0" fontId="2" fillId="0" borderId="18" xfId="0" applyFont="1" applyBorder="1" applyAlignment="1">
      <alignment vertical="center"/>
    </xf>
    <xf numFmtId="169" fontId="2" fillId="0" borderId="17" xfId="2" applyNumberFormat="1" applyFont="1" applyBorder="1" applyAlignment="1">
      <alignment horizontal="right" vertical="center"/>
    </xf>
    <xf numFmtId="10" fontId="4" fillId="4" borderId="1" xfId="3" applyNumberFormat="1" applyFont="1" applyFill="1" applyBorder="1" applyAlignment="1">
      <alignment horizontal="center" vertical="center"/>
    </xf>
    <xf numFmtId="10" fontId="4" fillId="8" borderId="1" xfId="3" quotePrefix="1" applyNumberFormat="1" applyFont="1" applyFill="1" applyBorder="1" applyAlignment="1">
      <alignment horizontal="center" vertical="center" wrapText="1"/>
    </xf>
    <xf numFmtId="8" fontId="0" fillId="0" borderId="0" xfId="0" applyNumberFormat="1"/>
    <xf numFmtId="10" fontId="2" fillId="0" borderId="0" xfId="3" applyNumberFormat="1" applyFont="1"/>
    <xf numFmtId="10" fontId="6" fillId="8" borderId="5" xfId="3" applyNumberFormat="1" applyFont="1" applyFill="1" applyBorder="1" applyAlignment="1">
      <alignment horizontal="center" vertical="center"/>
    </xf>
    <xf numFmtId="8" fontId="2" fillId="0" borderId="17" xfId="2" applyNumberFormat="1" applyFont="1" applyBorder="1" applyAlignment="1">
      <alignment vertical="center"/>
    </xf>
    <xf numFmtId="1" fontId="7" fillId="0" borderId="11" xfId="1" applyNumberFormat="1" applyFont="1" applyBorder="1" applyAlignment="1">
      <alignment horizontal="center" vertical="center"/>
    </xf>
    <xf numFmtId="4" fontId="7" fillId="0" borderId="11" xfId="0" applyNumberFormat="1" applyFont="1" applyBorder="1" applyAlignment="1">
      <alignment vertical="center"/>
    </xf>
    <xf numFmtId="0" fontId="2" fillId="0" borderId="0" xfId="0" applyFont="1" applyAlignment="1">
      <alignment horizontal="center"/>
    </xf>
    <xf numFmtId="0" fontId="2" fillId="0" borderId="17" xfId="0" applyFont="1" applyBorder="1" applyAlignment="1">
      <alignment vertical="center" wrapText="1"/>
    </xf>
    <xf numFmtId="0" fontId="2" fillId="2" borderId="11" xfId="0" applyFont="1" applyFill="1" applyBorder="1" applyAlignment="1">
      <alignment vertical="center"/>
    </xf>
    <xf numFmtId="171" fontId="7" fillId="0" borderId="11" xfId="3" applyNumberFormat="1" applyFont="1" applyFill="1" applyBorder="1" applyAlignment="1">
      <alignment horizontal="center" vertical="center" wrapText="1"/>
    </xf>
    <xf numFmtId="0" fontId="5" fillId="0" borderId="0" xfId="0" applyFont="1" applyAlignment="1">
      <alignment horizontal="center" vertical="center"/>
    </xf>
    <xf numFmtId="0" fontId="5" fillId="7" borderId="17" xfId="0" applyFont="1" applyFill="1" applyBorder="1" applyAlignment="1">
      <alignment horizontal="center" vertical="center" wrapText="1"/>
    </xf>
    <xf numFmtId="2" fontId="14" fillId="3" borderId="15" xfId="0" applyNumberFormat="1" applyFont="1" applyFill="1" applyBorder="1" applyAlignment="1">
      <alignment horizontal="center" vertical="center" wrapText="1"/>
    </xf>
    <xf numFmtId="2" fontId="14" fillId="3" borderId="0" xfId="0" applyNumberFormat="1" applyFont="1" applyFill="1" applyAlignment="1">
      <alignment horizontal="center" vertical="center" wrapText="1"/>
    </xf>
    <xf numFmtId="0" fontId="9" fillId="5" borderId="2" xfId="0" applyFont="1" applyFill="1" applyBorder="1" applyAlignment="1">
      <alignment horizontal="center" vertical="center"/>
    </xf>
    <xf numFmtId="0" fontId="9" fillId="5" borderId="4" xfId="0" applyFont="1" applyFill="1" applyBorder="1" applyAlignment="1">
      <alignment horizontal="center" vertical="center"/>
    </xf>
    <xf numFmtId="0" fontId="9" fillId="5" borderId="3" xfId="0" applyFont="1" applyFill="1" applyBorder="1" applyAlignment="1">
      <alignment horizontal="center" vertical="center"/>
    </xf>
    <xf numFmtId="9" fontId="4" fillId="7" borderId="1" xfId="3" applyFont="1" applyFill="1" applyBorder="1" applyAlignment="1">
      <alignment horizontal="center" vertical="center" wrapText="1"/>
    </xf>
    <xf numFmtId="9" fontId="3" fillId="7" borderId="1" xfId="3" applyFont="1" applyFill="1" applyBorder="1" applyAlignment="1">
      <alignment horizontal="center" vertical="center" wrapText="1"/>
    </xf>
    <xf numFmtId="9" fontId="3" fillId="6" borderId="5" xfId="3" applyFont="1" applyFill="1" applyBorder="1" applyAlignment="1">
      <alignment horizontal="center" vertical="center" wrapText="1"/>
    </xf>
    <xf numFmtId="9" fontId="3" fillId="6" borderId="6" xfId="3" applyFont="1" applyFill="1" applyBorder="1" applyAlignment="1">
      <alignment horizontal="center" vertical="center" wrapText="1"/>
    </xf>
    <xf numFmtId="9" fontId="3" fillId="6" borderId="7" xfId="3" applyFont="1" applyFill="1" applyBorder="1" applyAlignment="1">
      <alignment horizontal="center" vertical="center" wrapText="1"/>
    </xf>
    <xf numFmtId="9" fontId="3" fillId="6" borderId="1" xfId="3" applyFont="1" applyFill="1" applyBorder="1" applyAlignment="1">
      <alignment horizontal="center" vertical="center" wrapText="1"/>
    </xf>
    <xf numFmtId="9" fontId="3" fillId="7" borderId="1" xfId="3" applyFont="1" applyFill="1" applyBorder="1" applyAlignment="1">
      <alignment horizontal="center" vertical="center" textRotation="90" wrapText="1"/>
    </xf>
    <xf numFmtId="0" fontId="6" fillId="7" borderId="5" xfId="0" quotePrefix="1" applyFont="1" applyFill="1" applyBorder="1" applyAlignment="1">
      <alignment horizontal="center" vertical="center" wrapText="1"/>
    </xf>
    <xf numFmtId="44" fontId="3" fillId="6" borderId="1" xfId="2"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4" fillId="7" borderId="1" xfId="0" quotePrefix="1" applyFont="1" applyFill="1" applyBorder="1" applyAlignment="1">
      <alignment horizontal="center" vertical="center" wrapText="1"/>
    </xf>
    <xf numFmtId="165" fontId="3" fillId="7" borderId="1" xfId="0" applyNumberFormat="1" applyFont="1" applyFill="1" applyBorder="1" applyAlignment="1">
      <alignment horizontal="center" vertical="center" wrapText="1"/>
    </xf>
    <xf numFmtId="165" fontId="3" fillId="8" borderId="1" xfId="0" applyNumberFormat="1" applyFont="1" applyFill="1" applyBorder="1" applyAlignment="1">
      <alignment horizontal="center" vertical="center" wrapText="1"/>
    </xf>
    <xf numFmtId="10" fontId="4" fillId="8" borderId="1" xfId="3" quotePrefix="1" applyNumberFormat="1" applyFont="1" applyFill="1" applyBorder="1" applyAlignment="1">
      <alignment horizontal="center" vertical="center" wrapText="1"/>
    </xf>
    <xf numFmtId="0" fontId="4" fillId="8" borderId="1" xfId="0" applyFont="1" applyFill="1" applyBorder="1" applyAlignment="1">
      <alignment horizontal="center" vertical="center" wrapText="1"/>
    </xf>
    <xf numFmtId="44" fontId="3" fillId="6" borderId="5" xfId="2" applyFont="1" applyFill="1" applyBorder="1" applyAlignment="1">
      <alignment horizontal="center" vertical="center" wrapText="1"/>
    </xf>
    <xf numFmtId="44" fontId="3" fillId="6" borderId="6" xfId="2" applyFont="1" applyFill="1" applyBorder="1" applyAlignment="1">
      <alignment horizontal="center" vertical="center" wrapText="1"/>
    </xf>
    <xf numFmtId="44" fontId="3" fillId="6" borderId="7" xfId="2" applyFont="1" applyFill="1" applyBorder="1" applyAlignment="1">
      <alignment horizontal="center" vertical="center" wrapText="1"/>
    </xf>
    <xf numFmtId="0" fontId="12" fillId="0" borderId="0" xfId="0" applyFont="1" applyAlignment="1">
      <alignment horizontal="center" wrapText="1"/>
    </xf>
    <xf numFmtId="0" fontId="11" fillId="0" borderId="0" xfId="0" applyFont="1" applyAlignment="1">
      <alignment horizontal="center" wrapText="1"/>
    </xf>
    <xf numFmtId="0" fontId="3" fillId="7" borderId="4" xfId="0" applyFont="1" applyFill="1" applyBorder="1" applyAlignment="1">
      <alignment horizontal="center" vertical="center" wrapText="1"/>
    </xf>
    <xf numFmtId="0" fontId="3" fillId="7" borderId="1" xfId="0" applyFont="1" applyFill="1" applyBorder="1" applyAlignment="1">
      <alignment horizontal="center" vertical="center"/>
    </xf>
    <xf numFmtId="44" fontId="3" fillId="6" borderId="1" xfId="2" applyFont="1" applyFill="1" applyBorder="1" applyAlignment="1">
      <alignment horizontal="center" vertical="center"/>
    </xf>
    <xf numFmtId="0" fontId="3" fillId="6" borderId="4"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1" fontId="7" fillId="0" borderId="0" xfId="1" applyNumberFormat="1" applyFont="1" applyBorder="1" applyAlignment="1">
      <alignment vertical="center"/>
    </xf>
    <xf numFmtId="44" fontId="18" fillId="0" borderId="11" xfId="2" applyFont="1" applyBorder="1" applyAlignment="1">
      <alignment vertical="center"/>
    </xf>
    <xf numFmtId="10" fontId="5" fillId="9" borderId="11" xfId="3" applyNumberFormat="1" applyFont="1" applyFill="1" applyBorder="1" applyAlignment="1">
      <alignment vertical="center"/>
    </xf>
    <xf numFmtId="10" fontId="5" fillId="9" borderId="11" xfId="3" applyNumberFormat="1" applyFont="1" applyFill="1" applyBorder="1" applyAlignment="1">
      <alignment horizontal="center" vertical="center"/>
    </xf>
    <xf numFmtId="10" fontId="7" fillId="0" borderId="11" xfId="3" applyNumberFormat="1" applyFont="1" applyBorder="1" applyAlignment="1">
      <alignment vertical="center"/>
    </xf>
    <xf numFmtId="3" fontId="7" fillId="0" borderId="11" xfId="0" applyNumberFormat="1" applyFont="1" applyBorder="1" applyAlignment="1">
      <alignment vertical="center"/>
    </xf>
    <xf numFmtId="0" fontId="5" fillId="2" borderId="11" xfId="0" applyFont="1" applyFill="1" applyBorder="1" applyAlignment="1">
      <alignment vertical="center" wrapText="1"/>
    </xf>
    <xf numFmtId="0" fontId="5" fillId="2" borderId="11" xfId="0" applyFont="1" applyFill="1" applyBorder="1" applyAlignment="1">
      <alignment horizontal="left" vertical="center" wrapText="1"/>
    </xf>
    <xf numFmtId="0" fontId="2" fillId="0" borderId="19" xfId="0" applyFont="1" applyBorder="1" applyAlignment="1">
      <alignment horizontal="center" vertical="center"/>
    </xf>
    <xf numFmtId="0" fontId="2" fillId="0" borderId="19" xfId="0" applyFont="1" applyBorder="1" applyAlignment="1">
      <alignment vertical="center"/>
    </xf>
    <xf numFmtId="0" fontId="2" fillId="0" borderId="20" xfId="0" applyFont="1" applyBorder="1" applyAlignment="1">
      <alignment horizontal="center" vertical="center"/>
    </xf>
    <xf numFmtId="44" fontId="2" fillId="0" borderId="19" xfId="2" applyFont="1" applyBorder="1" applyAlignment="1">
      <alignment vertical="center"/>
    </xf>
    <xf numFmtId="0" fontId="5" fillId="2" borderId="19" xfId="0" applyFont="1" applyFill="1" applyBorder="1" applyAlignment="1">
      <alignment horizontal="center" vertical="center"/>
    </xf>
    <xf numFmtId="6" fontId="2" fillId="0" borderId="19" xfId="2" applyNumberFormat="1" applyFont="1" applyBorder="1" applyAlignment="1">
      <alignment vertical="center"/>
    </xf>
    <xf numFmtId="8" fontId="0" fillId="0" borderId="11" xfId="0" applyNumberFormat="1" applyBorder="1"/>
    <xf numFmtId="44" fontId="5" fillId="9" borderId="0" xfId="2" applyFont="1" applyFill="1" applyBorder="1" applyAlignment="1">
      <alignment vertical="center"/>
    </xf>
    <xf numFmtId="10" fontId="7" fillId="0" borderId="11" xfId="3" applyNumberFormat="1" applyFont="1" applyFill="1" applyBorder="1" applyAlignment="1">
      <alignment horizontal="center" vertical="center" wrapText="1"/>
    </xf>
    <xf numFmtId="8" fontId="19" fillId="0" borderId="0" xfId="0" applyNumberFormat="1" applyFont="1"/>
  </cellXfs>
  <cellStyles count="5">
    <cellStyle name="Millares" xfId="1" builtinId="3"/>
    <cellStyle name="Moneda" xfId="2" builtinId="4"/>
    <cellStyle name="Normal" xfId="0" builtinId="0"/>
    <cellStyle name="Normal 2" xfId="4" xr:uid="{B92200E7-4277-48A8-BEF2-F14ABF7AA9C0}"/>
    <cellStyle name="Porcentaje" xfId="3" builtinId="5"/>
  </cellStyles>
  <dxfs count="199">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s>
  <tableStyles count="0" defaultTableStyle="TableStyleMedium2" defaultPivotStyle="PivotStyleLight16"/>
  <colors>
    <mruColors>
      <color rgb="FFFFCC66"/>
      <color rgb="FFF5F5F5"/>
      <color rgb="FFFFF6DD"/>
      <color rgb="FFFFF8E5"/>
      <color rgb="FFF6FAF4"/>
      <color rgb="FFEEF6EA"/>
      <color rgb="FFE4E4E4"/>
      <color rgb="FFDEDED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customXml" Target="../customXml/item1.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4" Type="http://schemas.openxmlformats.org/officeDocument/2006/relationships/image" Target="../media/image4.sv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50800</xdr:colOff>
          <xdr:row>2</xdr:row>
          <xdr:rowOff>12700</xdr:rowOff>
        </xdr:from>
        <xdr:to>
          <xdr:col>1</xdr:col>
          <xdr:colOff>228600</xdr:colOff>
          <xdr:row>2</xdr:row>
          <xdr:rowOff>177800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MX" sz="1100" b="0" i="0" u="none" strike="noStrike" baseline="0">
                  <a:solidFill>
                    <a:srgbClr val="000000"/>
                  </a:solidFill>
                  <a:latin typeface="Calibri" pitchFamily="2" charset="0"/>
                  <a:cs typeface="Calibri" pitchFamily="2" charset="0"/>
                </a:rPr>
                <a:t>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50800</xdr:colOff>
          <xdr:row>3</xdr:row>
          <xdr:rowOff>25400</xdr:rowOff>
        </xdr:from>
        <xdr:to>
          <xdr:col>1</xdr:col>
          <xdr:colOff>215900</xdr:colOff>
          <xdr:row>3</xdr:row>
          <xdr:rowOff>190500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MX" sz="1100" b="0" i="0" u="none" strike="noStrike" baseline="0">
                  <a:solidFill>
                    <a:srgbClr val="000000"/>
                  </a:solidFill>
                  <a:latin typeface="Calibri" pitchFamily="2" charset="0"/>
                  <a:cs typeface="Calibri" pitchFamily="2" charset="0"/>
                </a:rPr>
                <a:t>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50800</xdr:colOff>
          <xdr:row>4</xdr:row>
          <xdr:rowOff>12700</xdr:rowOff>
        </xdr:from>
        <xdr:to>
          <xdr:col>1</xdr:col>
          <xdr:colOff>228600</xdr:colOff>
          <xdr:row>4</xdr:row>
          <xdr:rowOff>177800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MX" sz="1100" b="0" i="0" u="none" strike="noStrike" baseline="0">
                  <a:solidFill>
                    <a:srgbClr val="000000"/>
                  </a:solidFill>
                  <a:latin typeface="Calibri" pitchFamily="2" charset="0"/>
                  <a:cs typeface="Calibri" pitchFamily="2" charset="0"/>
                </a:rPr>
                <a:t>5</a:t>
              </a:r>
            </a:p>
          </xdr:txBody>
        </xdr:sp>
        <xdr:clientData fPrintsWithSheet="0"/>
      </xdr:twoCellAnchor>
    </mc:Choice>
    <mc:Fallback/>
  </mc:AlternateContent>
  <xdr:twoCellAnchor editAs="oneCell">
    <xdr:from>
      <xdr:col>4</xdr:col>
      <xdr:colOff>830792</xdr:colOff>
      <xdr:row>4</xdr:row>
      <xdr:rowOff>8467</xdr:rowOff>
    </xdr:from>
    <xdr:to>
      <xdr:col>4</xdr:col>
      <xdr:colOff>2734042</xdr:colOff>
      <xdr:row>7</xdr:row>
      <xdr:rowOff>3763</xdr:rowOff>
    </xdr:to>
    <xdr:pic>
      <xdr:nvPicPr>
        <xdr:cNvPr id="4" name="Gráfico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840442" y="875242"/>
          <a:ext cx="1822817" cy="620183"/>
        </a:xfrm>
        <a:prstGeom prst="rect">
          <a:avLst/>
        </a:prstGeom>
      </xdr:spPr>
    </xdr:pic>
    <xdr:clientData/>
  </xdr:twoCellAnchor>
  <xdr:twoCellAnchor editAs="oneCell">
    <xdr:from>
      <xdr:col>47</xdr:col>
      <xdr:colOff>1481666</xdr:colOff>
      <xdr:row>2</xdr:row>
      <xdr:rowOff>210608</xdr:rowOff>
    </xdr:from>
    <xdr:to>
      <xdr:col>47</xdr:col>
      <xdr:colOff>3544358</xdr:colOff>
      <xdr:row>6</xdr:row>
      <xdr:rowOff>67672</xdr:rowOff>
    </xdr:to>
    <xdr:pic>
      <xdr:nvPicPr>
        <xdr:cNvPr id="6" name="Gráfico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4311166" y="665691"/>
          <a:ext cx="2062692" cy="703731"/>
        </a:xfrm>
        <a:prstGeom prst="rect">
          <a:avLst/>
        </a:prstGeom>
      </xdr:spPr>
    </xdr:pic>
    <xdr:clientData/>
  </xdr:twoCellAnchor>
  <mc:AlternateContent xmlns:mc="http://schemas.openxmlformats.org/markup-compatibility/2006">
    <mc:Choice xmlns:a14="http://schemas.microsoft.com/office/drawing/2010/main" Requires="a14">
      <xdr:twoCellAnchor>
        <xdr:from>
          <xdr:col>2</xdr:col>
          <xdr:colOff>228600</xdr:colOff>
          <xdr:row>2</xdr:row>
          <xdr:rowOff>152400</xdr:rowOff>
        </xdr:from>
        <xdr:to>
          <xdr:col>2</xdr:col>
          <xdr:colOff>609600</xdr:colOff>
          <xdr:row>3</xdr:row>
          <xdr:rowOff>127000</xdr:rowOff>
        </xdr:to>
        <xdr:sp macro="" textlink="">
          <xdr:nvSpPr>
            <xdr:cNvPr id="1031" name="Button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MX" sz="1100" b="0" i="0" u="none" strike="noStrike" baseline="0">
                  <a:solidFill>
                    <a:srgbClr val="000000"/>
                  </a:solidFill>
                  <a:latin typeface="Calibri" pitchFamily="2" charset="0"/>
                  <a:cs typeface="Calibri" pitchFamily="2" charset="0"/>
                </a:rPr>
                <a:t>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228600</xdr:colOff>
          <xdr:row>3</xdr:row>
          <xdr:rowOff>165100</xdr:rowOff>
        </xdr:from>
        <xdr:to>
          <xdr:col>2</xdr:col>
          <xdr:colOff>596900</xdr:colOff>
          <xdr:row>4</xdr:row>
          <xdr:rowOff>139700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MX" sz="1100" b="0" i="0" u="none" strike="noStrike" baseline="0">
                  <a:solidFill>
                    <a:srgbClr val="000000"/>
                  </a:solidFill>
                  <a:latin typeface="Calibri" pitchFamily="2" charset="0"/>
                  <a:cs typeface="Calibri" pitchFamily="2" charset="0"/>
                </a:rPr>
                <a:t>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241300</xdr:colOff>
          <xdr:row>5</xdr:row>
          <xdr:rowOff>101600</xdr:rowOff>
        </xdr:from>
        <xdr:to>
          <xdr:col>2</xdr:col>
          <xdr:colOff>495300</xdr:colOff>
          <xdr:row>6</xdr:row>
          <xdr:rowOff>101600</xdr:rowOff>
        </xdr:to>
        <xdr:sp macro="" textlink="">
          <xdr:nvSpPr>
            <xdr:cNvPr id="1033" name="Butto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MX" sz="1100" b="0" i="0" u="none" strike="noStrike" baseline="0">
                  <a:solidFill>
                    <a:srgbClr val="000000"/>
                  </a:solidFill>
                  <a:latin typeface="Calibri" pitchFamily="2" charset="0"/>
                  <a:cs typeface="Calibri" pitchFamily="2" charset="0"/>
                </a:rPr>
                <a:t>ORDENAR</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Library/Containers/com.microsoft.Outlook/Data/tmp/Outlook%20Temp/estanquill%20MATRIZ%20EVALUACIO&#769;N%20PRELIMINAR%20FINANCIERA%20-%20VJ-VEJ-CM-001-2026%20(2)%5b15%5d.xlsm" TargetMode="External"/><Relationship Id="rId2" Type="http://schemas.openxmlformats.org/officeDocument/2006/relationships/externalLinkPath" Target="/Users/ivaneduardogomezguerrero/Library/Containers/com.microsoft.Outlook/Data/tmp/Outlook%20Temp/estanquill%20MATRIZ%20EVALUACIO&#769;N%20PRELIMINAR%20FINANCIERA%20-%20VJ-VEJ-CM-001-2026%20(2)%5b15%5d.xlsm" TargetMode="External"/><Relationship Id="rId1" Type="http://schemas.openxmlformats.org/officeDocument/2006/relationships/externalLinkPath" Target="/Users/ivaneduardogomezguerrero/Library/Containers/com.microsoft.Outlook/Data/tmp/Outlook%20Temp/estanquill%20MATRIZ%20EVALUACIO&#769;N%20PRELIMINAR%20FINANCIERA%20-%20VJ-VEJ-CM-001-2026%20(2)%5b15%5d.xlsm"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MATRIZ%20EVALUACIO&#769;N%20PX-PX%20%20PRELIMINAR%20FINANCIERA%20-%20VJ-VEJ-CM-002-2026.xlsm" TargetMode="External"/><Relationship Id="rId2" Type="http://schemas.openxmlformats.org/officeDocument/2006/relationships/externalLinkPath" Target="/Users/ivaneduardogomezguerrero/Documents/AGENCIAS%20NACIONAL%20DE%20INFRAESTRUCTURA%20/NUEVO%20CONTRATO%202026%20/CONCURSO%20DE%20MERITOS%20VJ-VEJ-CM-002-2026/MATRIZ%20EVALUACIO&#769;N%20PX-PX%20%20PRELIMINAR%20FINANCIERA%20-%20VJ-VEJ-CM-002-2026.xlsm" TargetMode="External"/><Relationship Id="rId1" Type="http://schemas.openxmlformats.org/officeDocument/2006/relationships/externalLinkPath" Target="/Users/ivaneduardogomezguerrero/Documents/AGENCIAS%20NACIONAL%20DE%20INFRAESTRUCTURA%20/NUEVO%20CONTRATO%202026%20/CONCURSO%20DE%20MERITOS%20VJ-VEJ-CM-002-2026/MATRIZ%20EVALUACIO&#769;N%20PX-PX%20%20PRELIMINAR%20FINANCIERA%20-%20VJ-VEJ-CM-002-2026.xlsm"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Users/ivaneduardogomezguerrero/Documents/AGENCIAS%20NACIONAL%20DE%20INFRAESTRUCTURA%20/NUEVO%20CONTRATO%202026%20/CONCURSO%20DE%20MERITOS%20VJ-VEJ-CM-002-2026/CONSOLIDADO%20INFORME%20FINANCIERO/MATRIZ%20PRELIMINAR%20DE%20EVALUACIO&#769;N%20%20FINANCIERA%20-%20VJ-VEJ-CM-002-2026%20JENNIFER.xlsm" TargetMode="External"/><Relationship Id="rId2" Type="http://schemas.microsoft.com/office/2019/04/relationships/externalLinkLongPath" Target="MATRIZ%20PRELIMINAR%20DE%20EVALUACIO&#769;N%20%20FINANCIERA%20-%20VJ-VEJ-CM-002-2026%20JENNIFER.xlsm?F451A5C8" TargetMode="External"/><Relationship Id="rId1" Type="http://schemas.openxmlformats.org/officeDocument/2006/relationships/externalLinkPath" Target="file:///F451A5C8/MATRIZ%20PRELIMINAR%20DE%20EVALUACIO&#769;N%20%20FINANCIERA%20-%20VJ-VEJ-CM-002-2026%20JENNIFE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DATOS INICIALES"/>
      <sheetName val="EVALUACION"/>
      <sheetName val="Hoja2"/>
      <sheetName val="VERIFICACIÓN EXTRANJEROS"/>
      <sheetName val="PARAMETROS"/>
      <sheetName val="Hoja1"/>
    </sheetNames>
    <sheetDataSet>
      <sheetData sheetId="0">
        <row r="4">
          <cell r="C4">
            <v>46090</v>
          </cell>
        </row>
        <row r="6">
          <cell r="C6">
            <v>69477143896</v>
          </cell>
        </row>
        <row r="10">
          <cell r="B10">
            <v>1</v>
          </cell>
          <cell r="E10">
            <v>69477143896</v>
          </cell>
          <cell r="F10" t="str">
            <v>SI</v>
          </cell>
        </row>
        <row r="11">
          <cell r="B11">
            <v>2</v>
          </cell>
          <cell r="E11">
            <v>69477143896</v>
          </cell>
        </row>
        <row r="12">
          <cell r="B12">
            <v>3</v>
          </cell>
          <cell r="E12">
            <v>69477143896</v>
          </cell>
        </row>
        <row r="13">
          <cell r="B13">
            <v>4</v>
          </cell>
          <cell r="E13">
            <v>69477143896</v>
          </cell>
        </row>
        <row r="14">
          <cell r="B14">
            <v>5</v>
          </cell>
          <cell r="E14">
            <v>69477143896</v>
          </cell>
        </row>
        <row r="15">
          <cell r="B15">
            <v>6</v>
          </cell>
          <cell r="E15">
            <v>69477143896</v>
          </cell>
        </row>
        <row r="16">
          <cell r="B16">
            <v>7</v>
          </cell>
          <cell r="E16">
            <v>69477143896</v>
          </cell>
        </row>
        <row r="17">
          <cell r="B17">
            <v>8</v>
          </cell>
          <cell r="E17">
            <v>69477143896</v>
          </cell>
        </row>
        <row r="18">
          <cell r="B18">
            <v>9</v>
          </cell>
          <cell r="E18">
            <v>69477143896</v>
          </cell>
        </row>
        <row r="19">
          <cell r="B19">
            <v>10</v>
          </cell>
          <cell r="E19">
            <v>69477143896</v>
          </cell>
        </row>
        <row r="20">
          <cell r="B20">
            <v>11</v>
          </cell>
          <cell r="C20" t="str">
            <v>CONSORCIO ESTANQUILLO POPAYÁN SU</v>
          </cell>
          <cell r="E20">
            <v>69477143896</v>
          </cell>
          <cell r="F20" t="str">
            <v>SI</v>
          </cell>
          <cell r="G20">
            <v>69477143600</v>
          </cell>
        </row>
        <row r="21">
          <cell r="B21">
            <v>12</v>
          </cell>
          <cell r="C21" t="str">
            <v>CONSORCIO ESTANQUILLO CLA</v>
          </cell>
          <cell r="E21">
            <v>69477143896</v>
          </cell>
          <cell r="F21" t="str">
            <v>SI</v>
          </cell>
          <cell r="G21">
            <v>69477143896</v>
          </cell>
        </row>
        <row r="22">
          <cell r="B22">
            <v>13</v>
          </cell>
          <cell r="C22" t="str">
            <v>CONSORCIO INTERVENTOR CONCESIÓN APP</v>
          </cell>
          <cell r="E22">
            <v>69477143896</v>
          </cell>
          <cell r="F22" t="str">
            <v>SI</v>
          </cell>
          <cell r="G22">
            <v>69394770475</v>
          </cell>
        </row>
        <row r="23">
          <cell r="B23">
            <v>14</v>
          </cell>
          <cell r="C23" t="str">
            <v>CONSORCIO CORREDOR CAUCA 3M</v>
          </cell>
          <cell r="E23">
            <v>69477143896</v>
          </cell>
          <cell r="F23" t="str">
            <v>SI</v>
          </cell>
          <cell r="G23">
            <v>69477143896</v>
          </cell>
        </row>
        <row r="24">
          <cell r="B24">
            <v>15</v>
          </cell>
          <cell r="C24" t="str">
            <v>CONSORCIO CONCESIÓN ESTANQUILLO AG</v>
          </cell>
          <cell r="E24">
            <v>69477143896</v>
          </cell>
          <cell r="F24" t="str">
            <v>SI</v>
          </cell>
          <cell r="G24">
            <v>69477143896</v>
          </cell>
        </row>
        <row r="25">
          <cell r="B25">
            <v>16</v>
          </cell>
          <cell r="C25" t="str">
            <v>CONSORCIO VIAS POPAYAN</v>
          </cell>
          <cell r="E25">
            <v>69477143896</v>
          </cell>
          <cell r="F25" t="str">
            <v>SI</v>
          </cell>
          <cell r="G25">
            <v>69477143896</v>
          </cell>
        </row>
        <row r="26">
          <cell r="B26">
            <v>17</v>
          </cell>
          <cell r="C26" t="str">
            <v>CONSORCIO APPLUS ANI 002</v>
          </cell>
          <cell r="E26">
            <v>69477143896</v>
          </cell>
          <cell r="F26" t="str">
            <v>SI</v>
          </cell>
          <cell r="G26">
            <v>69477143896</v>
          </cell>
        </row>
        <row r="27">
          <cell r="B27">
            <v>18</v>
          </cell>
          <cell r="C27" t="str">
            <v>CONSORCIO INTERVIAL RJ</v>
          </cell>
          <cell r="E27">
            <v>69477143896</v>
          </cell>
          <cell r="F27" t="str">
            <v>SI</v>
          </cell>
          <cell r="G27">
            <v>69477143880</v>
          </cell>
        </row>
        <row r="28">
          <cell r="B28">
            <v>19</v>
          </cell>
          <cell r="C28" t="str">
            <v>CONSORCIO EVOLUCION</v>
          </cell>
          <cell r="E28">
            <v>69477143896</v>
          </cell>
          <cell r="F28" t="str">
            <v>SI</v>
          </cell>
          <cell r="G28">
            <v>69477143896</v>
          </cell>
        </row>
        <row r="29">
          <cell r="B29">
            <v>20</v>
          </cell>
          <cell r="C29" t="str">
            <v>CONSORCIO INTERVENTOR ESTANQUILLO H-H</v>
          </cell>
          <cell r="E29">
            <v>69477143896</v>
          </cell>
          <cell r="F29" t="str">
            <v>SI</v>
          </cell>
          <cell r="G29">
            <v>69477143880</v>
          </cell>
        </row>
        <row r="30">
          <cell r="B30">
            <v>21</v>
          </cell>
          <cell r="C30" t="str">
            <v>CONSORCIO SURCOLOMBIA 002-26</v>
          </cell>
          <cell r="E30">
            <v>69477143896</v>
          </cell>
          <cell r="F30" t="str">
            <v>SI</v>
          </cell>
        </row>
        <row r="31">
          <cell r="B31">
            <v>22</v>
          </cell>
          <cell r="E31">
            <v>69477143896</v>
          </cell>
        </row>
        <row r="32">
          <cell r="B32">
            <v>23</v>
          </cell>
          <cell r="E32">
            <v>69477143896</v>
          </cell>
        </row>
        <row r="33">
          <cell r="B33">
            <v>24</v>
          </cell>
          <cell r="E33">
            <v>69477143896</v>
          </cell>
        </row>
        <row r="34">
          <cell r="B34">
            <v>25</v>
          </cell>
          <cell r="E34">
            <v>69477143896</v>
          </cell>
        </row>
        <row r="35">
          <cell r="B35">
            <v>26</v>
          </cell>
          <cell r="E35">
            <v>69477143896</v>
          </cell>
        </row>
        <row r="36">
          <cell r="B36">
            <v>27</v>
          </cell>
          <cell r="E36">
            <v>69477143896</v>
          </cell>
        </row>
        <row r="37">
          <cell r="B37">
            <v>28</v>
          </cell>
          <cell r="E37">
            <v>69477143896</v>
          </cell>
        </row>
        <row r="38">
          <cell r="B38">
            <v>29</v>
          </cell>
          <cell r="E38">
            <v>69477143896</v>
          </cell>
        </row>
        <row r="39">
          <cell r="B39">
            <v>30</v>
          </cell>
          <cell r="E39">
            <v>69477143896</v>
          </cell>
        </row>
        <row r="40">
          <cell r="B40">
            <v>31</v>
          </cell>
          <cell r="E40">
            <v>69477143896</v>
          </cell>
        </row>
        <row r="41">
          <cell r="B41">
            <v>32</v>
          </cell>
          <cell r="E41">
            <v>69477143896</v>
          </cell>
        </row>
        <row r="42">
          <cell r="B42">
            <v>33</v>
          </cell>
          <cell r="E42">
            <v>69477143896</v>
          </cell>
        </row>
        <row r="43">
          <cell r="B43">
            <v>34</v>
          </cell>
          <cell r="E43">
            <v>69477143896</v>
          </cell>
        </row>
        <row r="44">
          <cell r="B44">
            <v>35</v>
          </cell>
          <cell r="E44">
            <v>69477143896</v>
          </cell>
        </row>
        <row r="45">
          <cell r="B45">
            <v>36</v>
          </cell>
          <cell r="E45">
            <v>69477143896</v>
          </cell>
        </row>
        <row r="46">
          <cell r="B46">
            <v>37</v>
          </cell>
          <cell r="E46">
            <v>69477143896</v>
          </cell>
        </row>
        <row r="47">
          <cell r="B47">
            <v>38</v>
          </cell>
          <cell r="E47">
            <v>69477143896</v>
          </cell>
        </row>
        <row r="48">
          <cell r="B48">
            <v>39</v>
          </cell>
          <cell r="E48">
            <v>69477143896</v>
          </cell>
        </row>
        <row r="49">
          <cell r="B49">
            <v>40</v>
          </cell>
          <cell r="E49">
            <v>69477143896</v>
          </cell>
        </row>
        <row r="50">
          <cell r="B50">
            <v>41</v>
          </cell>
          <cell r="E50">
            <v>69477143896</v>
          </cell>
        </row>
        <row r="51">
          <cell r="B51">
            <v>42</v>
          </cell>
          <cell r="E51">
            <v>69477143896</v>
          </cell>
        </row>
        <row r="52">
          <cell r="B52">
            <v>43</v>
          </cell>
          <cell r="E52">
            <v>69477143896</v>
          </cell>
        </row>
        <row r="53">
          <cell r="B53">
            <v>44</v>
          </cell>
          <cell r="E53">
            <v>69477143896</v>
          </cell>
        </row>
        <row r="54">
          <cell r="B54">
            <v>45</v>
          </cell>
          <cell r="E54">
            <v>69477143896</v>
          </cell>
        </row>
        <row r="55">
          <cell r="B55">
            <v>46</v>
          </cell>
          <cell r="E55">
            <v>69477143896</v>
          </cell>
        </row>
        <row r="56">
          <cell r="B56">
            <v>47</v>
          </cell>
          <cell r="C56">
            <v>0</v>
          </cell>
          <cell r="E56">
            <v>69477143896</v>
          </cell>
          <cell r="F56" t="str">
            <v>SI</v>
          </cell>
          <cell r="G56">
            <v>23814232170</v>
          </cell>
        </row>
        <row r="57">
          <cell r="B57">
            <v>48</v>
          </cell>
          <cell r="C57" t="str">
            <v xml:space="preserve"> CONSORCIO INTERVENTOR ACCESOS NORTE H-H</v>
          </cell>
          <cell r="E57">
            <v>69477143896</v>
          </cell>
          <cell r="F57" t="str">
            <v>SI</v>
          </cell>
          <cell r="G57">
            <v>23814232150</v>
          </cell>
        </row>
        <row r="58">
          <cell r="B58">
            <v>49</v>
          </cell>
          <cell r="E58">
            <v>69477143896</v>
          </cell>
          <cell r="F58" t="str">
            <v>SI</v>
          </cell>
          <cell r="G58">
            <v>69477143896</v>
          </cell>
        </row>
        <row r="59">
          <cell r="B59">
            <v>50</v>
          </cell>
          <cell r="E59">
            <v>69477143896</v>
          </cell>
        </row>
        <row r="60">
          <cell r="B60">
            <v>51</v>
          </cell>
          <cell r="E60">
            <v>69477143896</v>
          </cell>
        </row>
        <row r="61">
          <cell r="B61">
            <v>52</v>
          </cell>
          <cell r="E61">
            <v>69477143896</v>
          </cell>
        </row>
        <row r="62">
          <cell r="B62">
            <v>53</v>
          </cell>
          <cell r="E62">
            <v>69477143896</v>
          </cell>
        </row>
        <row r="63">
          <cell r="B63">
            <v>54</v>
          </cell>
          <cell r="E63">
            <v>69477143896</v>
          </cell>
        </row>
        <row r="64">
          <cell r="B64">
            <v>55</v>
          </cell>
          <cell r="E64">
            <v>69477143896</v>
          </cell>
        </row>
        <row r="65">
          <cell r="B65">
            <v>56</v>
          </cell>
          <cell r="E65">
            <v>69477143896</v>
          </cell>
        </row>
        <row r="66">
          <cell r="B66">
            <v>57</v>
          </cell>
          <cell r="E66">
            <v>69477143896</v>
          </cell>
        </row>
        <row r="67">
          <cell r="B67">
            <v>58</v>
          </cell>
          <cell r="E67">
            <v>69477143896</v>
          </cell>
        </row>
        <row r="68">
          <cell r="B68">
            <v>59</v>
          </cell>
          <cell r="E68">
            <v>69477143896</v>
          </cell>
        </row>
        <row r="69">
          <cell r="B69">
            <v>60</v>
          </cell>
          <cell r="E69">
            <v>69477143896</v>
          </cell>
        </row>
        <row r="70">
          <cell r="B70">
            <v>61</v>
          </cell>
          <cell r="E70">
            <v>69477143896</v>
          </cell>
        </row>
        <row r="71">
          <cell r="B71">
            <v>62</v>
          </cell>
          <cell r="E71">
            <v>69477143896</v>
          </cell>
        </row>
      </sheetData>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DATOS INICIALES"/>
      <sheetName val="EVALUACION"/>
      <sheetName val="Hoja2"/>
      <sheetName val="VERIFICACIÓN EXTRANJEROS"/>
      <sheetName val="PARAMETROS"/>
      <sheetName val="Hoja1"/>
    </sheetNames>
    <sheetDataSet>
      <sheetData sheetId="0">
        <row r="4">
          <cell r="C4">
            <v>46090</v>
          </cell>
        </row>
        <row r="6">
          <cell r="C6">
            <v>69477143896</v>
          </cell>
        </row>
        <row r="10">
          <cell r="B10">
            <v>1</v>
          </cell>
          <cell r="E10">
            <v>69477143896</v>
          </cell>
          <cell r="F10" t="str">
            <v>SI</v>
          </cell>
        </row>
        <row r="11">
          <cell r="B11">
            <v>2</v>
          </cell>
          <cell r="E11">
            <v>69477143896</v>
          </cell>
        </row>
        <row r="12">
          <cell r="B12">
            <v>3</v>
          </cell>
          <cell r="E12">
            <v>69477143896</v>
          </cell>
        </row>
        <row r="13">
          <cell r="B13">
            <v>4</v>
          </cell>
          <cell r="E13">
            <v>69477143896</v>
          </cell>
        </row>
        <row r="14">
          <cell r="B14">
            <v>5</v>
          </cell>
          <cell r="E14">
            <v>69477143896</v>
          </cell>
        </row>
        <row r="15">
          <cell r="B15">
            <v>6</v>
          </cell>
          <cell r="E15">
            <v>69477143896</v>
          </cell>
        </row>
        <row r="16">
          <cell r="B16">
            <v>7</v>
          </cell>
          <cell r="E16">
            <v>69477143896</v>
          </cell>
        </row>
        <row r="17">
          <cell r="B17">
            <v>8</v>
          </cell>
          <cell r="E17">
            <v>69477143896</v>
          </cell>
        </row>
        <row r="18">
          <cell r="B18">
            <v>9</v>
          </cell>
          <cell r="E18">
            <v>69477143896</v>
          </cell>
        </row>
        <row r="19">
          <cell r="B19">
            <v>10</v>
          </cell>
          <cell r="E19">
            <v>69477143896</v>
          </cell>
        </row>
        <row r="20">
          <cell r="B20">
            <v>11</v>
          </cell>
          <cell r="E20">
            <v>69477143896</v>
          </cell>
        </row>
        <row r="21">
          <cell r="B21">
            <v>12</v>
          </cell>
          <cell r="E21">
            <v>69477143896</v>
          </cell>
        </row>
        <row r="22">
          <cell r="B22">
            <v>13</v>
          </cell>
          <cell r="E22">
            <v>69477143896</v>
          </cell>
        </row>
        <row r="23">
          <cell r="B23">
            <v>14</v>
          </cell>
          <cell r="E23">
            <v>69477143896</v>
          </cell>
        </row>
        <row r="24">
          <cell r="B24">
            <v>15</v>
          </cell>
          <cell r="E24">
            <v>69477143896</v>
          </cell>
        </row>
        <row r="25">
          <cell r="B25">
            <v>16</v>
          </cell>
          <cell r="E25">
            <v>69477143896</v>
          </cell>
        </row>
        <row r="26">
          <cell r="B26">
            <v>17</v>
          </cell>
          <cell r="E26">
            <v>69477143896</v>
          </cell>
        </row>
        <row r="27">
          <cell r="B27">
            <v>18</v>
          </cell>
          <cell r="E27">
            <v>69477143896</v>
          </cell>
        </row>
        <row r="28">
          <cell r="B28">
            <v>19</v>
          </cell>
          <cell r="E28">
            <v>69477143896</v>
          </cell>
        </row>
        <row r="29">
          <cell r="B29">
            <v>20</v>
          </cell>
          <cell r="E29">
            <v>69477143896</v>
          </cell>
        </row>
        <row r="30">
          <cell r="B30">
            <v>21</v>
          </cell>
          <cell r="C30" t="str">
            <v>CONSORCIO SURCOLOMBIA 002-26</v>
          </cell>
          <cell r="E30">
            <v>69477143896</v>
          </cell>
          <cell r="F30" t="str">
            <v>SI</v>
          </cell>
          <cell r="G30">
            <v>69477143896</v>
          </cell>
        </row>
        <row r="31">
          <cell r="B31">
            <v>22</v>
          </cell>
          <cell r="C31" t="str">
            <v>CONSORCIO CAUCA  MIP</v>
          </cell>
          <cell r="E31">
            <v>69477143896</v>
          </cell>
          <cell r="F31" t="str">
            <v>SI</v>
          </cell>
          <cell r="G31">
            <v>69477143896</v>
          </cell>
        </row>
        <row r="32">
          <cell r="B32">
            <v>23</v>
          </cell>
          <cell r="C32" t="str">
            <v>CONSORCIO PIVICSA POPAYAN</v>
          </cell>
          <cell r="E32">
            <v>69477143896</v>
          </cell>
          <cell r="F32" t="str">
            <v>SI</v>
          </cell>
          <cell r="G32">
            <v>69477143896</v>
          </cell>
        </row>
        <row r="33">
          <cell r="B33">
            <v>24</v>
          </cell>
          <cell r="C33" t="str">
            <v>CONSORCIO INTERVENTOR VIAL</v>
          </cell>
          <cell r="E33">
            <v>69477143896</v>
          </cell>
          <cell r="F33" t="str">
            <v>SI</v>
          </cell>
          <cell r="G33">
            <v>69477143896</v>
          </cell>
        </row>
        <row r="34">
          <cell r="B34">
            <v>25</v>
          </cell>
          <cell r="C34" t="str">
            <v>CONSORCIO ID ESTANQUILLO POPAYAN</v>
          </cell>
          <cell r="E34">
            <v>69477143896</v>
          </cell>
          <cell r="F34" t="str">
            <v>SI</v>
          </cell>
          <cell r="G34">
            <v>69477143896</v>
          </cell>
        </row>
        <row r="35">
          <cell r="B35">
            <v>26</v>
          </cell>
          <cell r="C35" t="str">
            <v>CONSORCIO TG ESTANQUILLO POPAYAN</v>
          </cell>
          <cell r="E35">
            <v>69477143896</v>
          </cell>
          <cell r="F35" t="str">
            <v>SI</v>
          </cell>
          <cell r="G35">
            <v>69477143896</v>
          </cell>
        </row>
        <row r="36">
          <cell r="B36">
            <v>27</v>
          </cell>
          <cell r="C36" t="str">
            <v>CONSORCIO CONCESION ESTANQUILLO-POPAYAN</v>
          </cell>
          <cell r="E36">
            <v>69477143896</v>
          </cell>
          <cell r="F36" t="str">
            <v>SI</v>
          </cell>
          <cell r="G36">
            <v>69477143896</v>
          </cell>
        </row>
        <row r="37">
          <cell r="B37">
            <v>28</v>
          </cell>
          <cell r="C37" t="str">
            <v>CONSORCIO CORREDOR EP 2026</v>
          </cell>
          <cell r="E37">
            <v>69477143896</v>
          </cell>
          <cell r="F37" t="str">
            <v>SI</v>
          </cell>
          <cell r="G37">
            <v>69477143896</v>
          </cell>
        </row>
        <row r="38">
          <cell r="B38">
            <v>29</v>
          </cell>
          <cell r="C38" t="str">
            <v>C. DEL SUR SEG - SAITEC - INCOPLAN**</v>
          </cell>
          <cell r="E38">
            <v>69477143896</v>
          </cell>
          <cell r="F38" t="str">
            <v>SI</v>
          </cell>
          <cell r="G38">
            <v>69477143896</v>
          </cell>
        </row>
        <row r="39">
          <cell r="B39">
            <v>30</v>
          </cell>
          <cell r="C39" t="str">
            <v>CONSORCIO CONEXIÓN POPAYÁN</v>
          </cell>
          <cell r="E39">
            <v>69477143896</v>
          </cell>
          <cell r="F39" t="str">
            <v>SI</v>
          </cell>
          <cell r="G39">
            <v>69477143896</v>
          </cell>
        </row>
        <row r="40">
          <cell r="B40">
            <v>31</v>
          </cell>
          <cell r="E40">
            <v>69477143896</v>
          </cell>
        </row>
        <row r="41">
          <cell r="B41">
            <v>32</v>
          </cell>
          <cell r="E41">
            <v>69477143896</v>
          </cell>
        </row>
        <row r="42">
          <cell r="B42">
            <v>33</v>
          </cell>
          <cell r="E42">
            <v>69477143896</v>
          </cell>
        </row>
        <row r="43">
          <cell r="B43">
            <v>34</v>
          </cell>
          <cell r="E43">
            <v>69477143896</v>
          </cell>
        </row>
        <row r="44">
          <cell r="B44">
            <v>35</v>
          </cell>
          <cell r="E44">
            <v>69477143896</v>
          </cell>
        </row>
        <row r="45">
          <cell r="B45">
            <v>36</v>
          </cell>
          <cell r="E45">
            <v>69477143896</v>
          </cell>
        </row>
        <row r="46">
          <cell r="B46">
            <v>37</v>
          </cell>
          <cell r="E46">
            <v>69477143896</v>
          </cell>
        </row>
        <row r="47">
          <cell r="B47">
            <v>38</v>
          </cell>
          <cell r="E47">
            <v>69477143896</v>
          </cell>
        </row>
        <row r="48">
          <cell r="B48">
            <v>39</v>
          </cell>
          <cell r="E48">
            <v>69477143896</v>
          </cell>
        </row>
        <row r="49">
          <cell r="B49">
            <v>40</v>
          </cell>
          <cell r="E49">
            <v>69477143896</v>
          </cell>
        </row>
      </sheetData>
      <sheetData sheetId="1" refreshError="1"/>
      <sheetData sheetId="2" refreshError="1"/>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DATOS INICIALES"/>
      <sheetName val="EVALUACION"/>
      <sheetName val="PARAMETROS"/>
      <sheetName val="Hoja1"/>
    </sheetNames>
    <sheetDataSet>
      <sheetData sheetId="0">
        <row r="4">
          <cell r="C4">
            <v>46090</v>
          </cell>
        </row>
        <row r="6">
          <cell r="C6">
            <v>69477143896</v>
          </cell>
        </row>
        <row r="10">
          <cell r="B10">
            <v>1</v>
          </cell>
          <cell r="E10">
            <v>69477143896</v>
          </cell>
          <cell r="F10" t="str">
            <v>SI</v>
          </cell>
        </row>
        <row r="11">
          <cell r="B11">
            <v>2</v>
          </cell>
          <cell r="E11">
            <v>69477143896</v>
          </cell>
        </row>
        <row r="12">
          <cell r="B12">
            <v>3</v>
          </cell>
          <cell r="E12">
            <v>69477143896</v>
          </cell>
        </row>
        <row r="13">
          <cell r="B13">
            <v>4</v>
          </cell>
          <cell r="E13">
            <v>69477143896</v>
          </cell>
        </row>
        <row r="14">
          <cell r="B14">
            <v>5</v>
          </cell>
          <cell r="E14">
            <v>69477143896</v>
          </cell>
        </row>
        <row r="15">
          <cell r="B15">
            <v>6</v>
          </cell>
          <cell r="E15">
            <v>69477143896</v>
          </cell>
        </row>
        <row r="16">
          <cell r="B16">
            <v>7</v>
          </cell>
          <cell r="E16">
            <v>69477143896</v>
          </cell>
        </row>
        <row r="17">
          <cell r="B17">
            <v>8</v>
          </cell>
          <cell r="E17">
            <v>69477143896</v>
          </cell>
        </row>
        <row r="18">
          <cell r="B18">
            <v>9</v>
          </cell>
          <cell r="E18">
            <v>69477143896</v>
          </cell>
        </row>
        <row r="19">
          <cell r="B19">
            <v>10</v>
          </cell>
          <cell r="E19">
            <v>69477143896</v>
          </cell>
        </row>
        <row r="20">
          <cell r="B20">
            <v>11</v>
          </cell>
          <cell r="E20">
            <v>69477143896</v>
          </cell>
        </row>
        <row r="21">
          <cell r="B21">
            <v>12</v>
          </cell>
          <cell r="E21">
            <v>69477143896</v>
          </cell>
        </row>
        <row r="22">
          <cell r="B22">
            <v>13</v>
          </cell>
          <cell r="E22">
            <v>69477143896</v>
          </cell>
        </row>
        <row r="23">
          <cell r="B23">
            <v>14</v>
          </cell>
          <cell r="E23">
            <v>69477143896</v>
          </cell>
        </row>
        <row r="24">
          <cell r="B24">
            <v>15</v>
          </cell>
          <cell r="E24">
            <v>69477143896</v>
          </cell>
        </row>
        <row r="25">
          <cell r="B25">
            <v>16</v>
          </cell>
          <cell r="E25">
            <v>69477143896</v>
          </cell>
        </row>
        <row r="26">
          <cell r="B26">
            <v>17</v>
          </cell>
          <cell r="E26">
            <v>69477143896</v>
          </cell>
        </row>
        <row r="27">
          <cell r="B27">
            <v>18</v>
          </cell>
          <cell r="E27">
            <v>69477143896</v>
          </cell>
        </row>
        <row r="28">
          <cell r="B28">
            <v>19</v>
          </cell>
          <cell r="E28">
            <v>69477143896</v>
          </cell>
        </row>
        <row r="29">
          <cell r="B29">
            <v>20</v>
          </cell>
          <cell r="E29">
            <v>69477143896</v>
          </cell>
        </row>
        <row r="30">
          <cell r="B30">
            <v>21</v>
          </cell>
          <cell r="E30">
            <v>69477143896</v>
          </cell>
        </row>
        <row r="31">
          <cell r="B31">
            <v>22</v>
          </cell>
          <cell r="E31">
            <v>69477143896</v>
          </cell>
        </row>
        <row r="32">
          <cell r="B32">
            <v>23</v>
          </cell>
          <cell r="E32">
            <v>69477143896</v>
          </cell>
        </row>
        <row r="33">
          <cell r="B33">
            <v>24</v>
          </cell>
          <cell r="E33">
            <v>69477143896</v>
          </cell>
        </row>
        <row r="34">
          <cell r="B34">
            <v>25</v>
          </cell>
          <cell r="E34">
            <v>69477143896</v>
          </cell>
        </row>
        <row r="35">
          <cell r="B35">
            <v>26</v>
          </cell>
          <cell r="E35">
            <v>69477143896</v>
          </cell>
        </row>
        <row r="36">
          <cell r="B36">
            <v>27</v>
          </cell>
          <cell r="E36">
            <v>69477143896</v>
          </cell>
        </row>
        <row r="37">
          <cell r="B37">
            <v>28</v>
          </cell>
          <cell r="E37">
            <v>69477143896</v>
          </cell>
        </row>
        <row r="38">
          <cell r="B38">
            <v>29</v>
          </cell>
          <cell r="E38">
            <v>69477143896</v>
          </cell>
        </row>
        <row r="39">
          <cell r="B39">
            <v>30</v>
          </cell>
          <cell r="E39">
            <v>69477143896</v>
          </cell>
        </row>
        <row r="40">
          <cell r="B40">
            <v>31</v>
          </cell>
          <cell r="C40" t="str">
            <v>CONSORCIO CORREDOR SUR</v>
          </cell>
          <cell r="E40">
            <v>69477143896</v>
          </cell>
          <cell r="F40" t="str">
            <v>SI</v>
          </cell>
          <cell r="G40">
            <v>69477143896</v>
          </cell>
        </row>
        <row r="41">
          <cell r="B41">
            <v>32</v>
          </cell>
          <cell r="C41" t="str">
            <v>CONSORCIO ESTANQUILLO SCD</v>
          </cell>
          <cell r="E41">
            <v>69477143896</v>
          </cell>
          <cell r="F41" t="str">
            <v>SI</v>
          </cell>
          <cell r="G41">
            <v>69477143896</v>
          </cell>
        </row>
        <row r="42">
          <cell r="B42">
            <v>33</v>
          </cell>
          <cell r="C42" t="str">
            <v>CONSORCIO GIS INFRAVISIÓN PACÍFICO</v>
          </cell>
          <cell r="E42">
            <v>69477143896</v>
          </cell>
          <cell r="F42" t="str">
            <v>SI</v>
          </cell>
          <cell r="G42">
            <v>69477143896</v>
          </cell>
        </row>
        <row r="43">
          <cell r="B43">
            <v>34</v>
          </cell>
          <cell r="C43" t="str">
            <v>CONSORCIO INTERVENTOR ESTANQUILLO I</v>
          </cell>
          <cell r="E43">
            <v>69477143896</v>
          </cell>
          <cell r="F43" t="str">
            <v>SI</v>
          </cell>
          <cell r="G43">
            <v>69477143896</v>
          </cell>
        </row>
        <row r="44">
          <cell r="B44">
            <v>35</v>
          </cell>
          <cell r="C44" t="str">
            <v>CONSORCIO STC CORREDOR EP</v>
          </cell>
          <cell r="E44">
            <v>69477143896</v>
          </cell>
          <cell r="F44" t="str">
            <v>SI</v>
          </cell>
          <cell r="G44">
            <v>69476900000</v>
          </cell>
        </row>
        <row r="45">
          <cell r="B45">
            <v>36</v>
          </cell>
          <cell r="C45" t="str">
            <v>CONSORCIO INTERVENTORES PED ESTANQUILLO</v>
          </cell>
          <cell r="E45">
            <v>69477143896</v>
          </cell>
          <cell r="F45" t="str">
            <v>SI</v>
          </cell>
          <cell r="G45">
            <v>69477143896</v>
          </cell>
        </row>
        <row r="46">
          <cell r="B46">
            <v>37</v>
          </cell>
          <cell r="C46" t="str">
            <v>CONSORCIO POPAYÁN AR</v>
          </cell>
          <cell r="E46">
            <v>69477143896</v>
          </cell>
          <cell r="F46" t="str">
            <v>SI</v>
          </cell>
          <cell r="G46">
            <v>69477143896</v>
          </cell>
        </row>
        <row r="47">
          <cell r="B47">
            <v>38</v>
          </cell>
          <cell r="C47" t="str">
            <v xml:space="preserve">CONSORCIO RUTA NACIONAL DEL SUR </v>
          </cell>
          <cell r="E47">
            <v>69477143896</v>
          </cell>
          <cell r="F47" t="str">
            <v>SI</v>
          </cell>
          <cell r="G47">
            <v>69477143895</v>
          </cell>
        </row>
        <row r="48">
          <cell r="B48">
            <v>39</v>
          </cell>
          <cell r="C48" t="str">
            <v>CONSORCIO TPF CONEXION POPAYAN</v>
          </cell>
          <cell r="E48">
            <v>69477143896</v>
          </cell>
          <cell r="F48" t="str">
            <v>SI</v>
          </cell>
          <cell r="G48">
            <v>69477143896</v>
          </cell>
        </row>
        <row r="49">
          <cell r="B49">
            <v>40</v>
          </cell>
          <cell r="C49" t="str">
            <v>CONSORCIO A1V2-SCAIN</v>
          </cell>
          <cell r="E49">
            <v>69477143896</v>
          </cell>
          <cell r="F49" t="str">
            <v>SI</v>
          </cell>
          <cell r="G49">
            <v>0</v>
          </cell>
        </row>
        <row r="50">
          <cell r="B50">
            <v>41</v>
          </cell>
          <cell r="C50" t="str">
            <v>CONSORCIO CORREDOR POPAYÁN ECI</v>
          </cell>
          <cell r="E50">
            <v>69477143896</v>
          </cell>
          <cell r="F50" t="str">
            <v>SI</v>
          </cell>
          <cell r="G50">
            <v>69477143896</v>
          </cell>
        </row>
      </sheetData>
      <sheetData sheetId="1" refreshError="1"/>
      <sheetData sheetId="2" refreshError="1"/>
      <sheetData sheetId="3"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86E91-9877-4C7F-B9A1-271D760F97C6}">
  <sheetPr codeName="Hoja1">
    <tabColor rgb="FF7030A0"/>
  </sheetPr>
  <dimension ref="B2:J100"/>
  <sheetViews>
    <sheetView showGridLines="0" zoomScale="89" workbookViewId="0">
      <selection activeCell="F40" sqref="F40:I50"/>
    </sheetView>
  </sheetViews>
  <sheetFormatPr baseColWidth="10" defaultColWidth="11.5" defaultRowHeight="14" x14ac:dyDescent="0.2"/>
  <cols>
    <col min="1" max="1" width="4.83203125" style="4" customWidth="1"/>
    <col min="2" max="2" width="22.5" style="4" customWidth="1"/>
    <col min="3" max="3" width="56.1640625" style="4" customWidth="1"/>
    <col min="4" max="4" width="15.83203125" style="4" customWidth="1"/>
    <col min="5" max="5" width="27.6640625" style="60" customWidth="1"/>
    <col min="6" max="6" width="29.5" style="72" customWidth="1"/>
    <col min="7" max="8" width="33.5" style="70" customWidth="1"/>
    <col min="9" max="9" width="18.83203125" style="4" customWidth="1"/>
    <col min="10" max="10" width="23.5" style="4" customWidth="1"/>
    <col min="11" max="16384" width="11.5" style="4"/>
  </cols>
  <sheetData>
    <row r="2" spans="2:10" ht="40.5" customHeight="1" x14ac:dyDescent="0.2">
      <c r="B2" s="16" t="s">
        <v>0</v>
      </c>
      <c r="C2" s="69" t="s">
        <v>62</v>
      </c>
      <c r="E2" s="76" t="s">
        <v>45</v>
      </c>
      <c r="F2" s="105" t="s">
        <v>63</v>
      </c>
      <c r="G2" s="106"/>
      <c r="H2" s="106"/>
    </row>
    <row r="3" spans="2:10" ht="18" customHeight="1" x14ac:dyDescent="0.2">
      <c r="E3" s="77"/>
      <c r="F3" s="105"/>
      <c r="G3" s="106"/>
      <c r="H3" s="106"/>
    </row>
    <row r="4" spans="2:10" ht="18" customHeight="1" x14ac:dyDescent="0.2">
      <c r="B4" s="17" t="s">
        <v>1</v>
      </c>
      <c r="C4" s="7">
        <v>46090</v>
      </c>
      <c r="D4" s="8"/>
      <c r="E4" s="77"/>
      <c r="F4" s="105"/>
      <c r="G4" s="106"/>
      <c r="H4" s="106"/>
    </row>
    <row r="5" spans="2:10" ht="22.5" customHeight="1" x14ac:dyDescent="0.2">
      <c r="F5" s="105"/>
      <c r="G5" s="106"/>
      <c r="H5" s="106"/>
    </row>
    <row r="6" spans="2:10" ht="21" customHeight="1" x14ac:dyDescent="0.2">
      <c r="B6" s="18" t="s">
        <v>2</v>
      </c>
      <c r="C6" s="74">
        <v>69477143896</v>
      </c>
      <c r="D6" s="70"/>
      <c r="E6" s="103"/>
      <c r="F6" s="103"/>
    </row>
    <row r="7" spans="2:10" ht="30" customHeight="1" x14ac:dyDescent="0.2">
      <c r="B7" s="11"/>
      <c r="C7" s="82"/>
      <c r="D7" s="83"/>
      <c r="E7" s="78"/>
      <c r="F7" s="6"/>
    </row>
    <row r="8" spans="2:10" x14ac:dyDescent="0.2">
      <c r="B8" s="104" t="s">
        <v>3</v>
      </c>
      <c r="C8" s="104"/>
      <c r="D8" s="104"/>
      <c r="E8" s="104"/>
      <c r="F8" s="104"/>
      <c r="G8" s="104"/>
      <c r="H8" s="104"/>
      <c r="I8" s="104"/>
      <c r="J8" s="104"/>
    </row>
    <row r="9" spans="2:10" ht="30" x14ac:dyDescent="0.2">
      <c r="B9" s="19" t="s">
        <v>4</v>
      </c>
      <c r="C9" s="20" t="s">
        <v>5</v>
      </c>
      <c r="D9" s="54" t="s">
        <v>6</v>
      </c>
      <c r="E9" s="79" t="s">
        <v>47</v>
      </c>
      <c r="F9" s="55" t="s">
        <v>48</v>
      </c>
      <c r="G9" s="73" t="s">
        <v>49</v>
      </c>
      <c r="H9" s="73" t="s">
        <v>57</v>
      </c>
      <c r="I9" s="55" t="s">
        <v>50</v>
      </c>
      <c r="J9" s="55" t="s">
        <v>14</v>
      </c>
    </row>
    <row r="10" spans="2:10" x14ac:dyDescent="0.2">
      <c r="B10" s="9">
        <v>1</v>
      </c>
      <c r="C10" s="52" t="s">
        <v>64</v>
      </c>
      <c r="D10" s="56"/>
      <c r="E10" s="80">
        <f>+$C$6</f>
        <v>69477143896</v>
      </c>
      <c r="F10" s="59" t="s">
        <v>55</v>
      </c>
      <c r="G10" s="81">
        <v>69477143896</v>
      </c>
      <c r="H10" s="81">
        <v>69477143896</v>
      </c>
      <c r="I10" s="61" t="str">
        <f>IF(C10="","",IF(AND(G10&lt;=E10,F10="SI",G10&gt;0,G10=H10),"CUMPLE","NO CUMPLE"))</f>
        <v>CUMPLE</v>
      </c>
      <c r="J10" s="57"/>
    </row>
    <row r="11" spans="2:10" x14ac:dyDescent="0.2">
      <c r="B11" s="10">
        <v>2</v>
      </c>
      <c r="C11" s="52" t="s">
        <v>71</v>
      </c>
      <c r="D11" s="58"/>
      <c r="E11" s="80">
        <f t="shared" ref="E11:E50" si="0">+$C$6</f>
        <v>69477143896</v>
      </c>
      <c r="F11" s="59" t="s">
        <v>55</v>
      </c>
      <c r="G11" s="81">
        <v>69477143896</v>
      </c>
      <c r="H11" s="81">
        <v>69477143896</v>
      </c>
      <c r="I11" s="61" t="str">
        <f t="shared" ref="I11:I50" si="1">IF(C11="","",IF(AND(G11&lt;=E11,F11="SI",G11&gt;0,G11=H11),"CUMPLE","NO CUMPLE"))</f>
        <v>CUMPLE</v>
      </c>
      <c r="J11" s="57"/>
    </row>
    <row r="12" spans="2:10" x14ac:dyDescent="0.2">
      <c r="B12" s="9">
        <v>3</v>
      </c>
      <c r="C12" s="52" t="s">
        <v>78</v>
      </c>
      <c r="D12" s="58"/>
      <c r="E12" s="80">
        <f t="shared" si="0"/>
        <v>69477143896</v>
      </c>
      <c r="F12" s="59" t="s">
        <v>55</v>
      </c>
      <c r="G12" s="80">
        <v>69477143896</v>
      </c>
      <c r="H12" s="80">
        <v>69477143896</v>
      </c>
      <c r="I12" s="61" t="str">
        <f t="shared" si="1"/>
        <v>CUMPLE</v>
      </c>
      <c r="J12" s="57"/>
    </row>
    <row r="13" spans="2:10" x14ac:dyDescent="0.2">
      <c r="B13" s="9">
        <v>4</v>
      </c>
      <c r="C13" s="52" t="s">
        <v>83</v>
      </c>
      <c r="D13" s="58"/>
      <c r="E13" s="80">
        <f t="shared" si="0"/>
        <v>69477143896</v>
      </c>
      <c r="F13" s="59" t="s">
        <v>55</v>
      </c>
      <c r="G13" s="81">
        <v>69477143895</v>
      </c>
      <c r="H13" s="81">
        <v>69477143895</v>
      </c>
      <c r="I13" s="61" t="str">
        <f t="shared" si="1"/>
        <v>CUMPLE</v>
      </c>
      <c r="J13" s="57"/>
    </row>
    <row r="14" spans="2:10" x14ac:dyDescent="0.2">
      <c r="B14" s="10">
        <v>5</v>
      </c>
      <c r="C14" s="52" t="s">
        <v>90</v>
      </c>
      <c r="D14" s="58"/>
      <c r="E14" s="80">
        <f t="shared" si="0"/>
        <v>69477143896</v>
      </c>
      <c r="F14" s="59" t="s">
        <v>55</v>
      </c>
      <c r="G14" s="81">
        <v>69477143896</v>
      </c>
      <c r="H14" s="81">
        <v>69477143896</v>
      </c>
      <c r="I14" s="61" t="str">
        <f t="shared" si="1"/>
        <v>CUMPLE</v>
      </c>
      <c r="J14" s="57"/>
    </row>
    <row r="15" spans="2:10" x14ac:dyDescent="0.2">
      <c r="B15" s="9">
        <v>6</v>
      </c>
      <c r="C15" s="52" t="s">
        <v>91</v>
      </c>
      <c r="D15" s="58"/>
      <c r="E15" s="80">
        <f t="shared" si="0"/>
        <v>69477143896</v>
      </c>
      <c r="F15" s="59" t="s">
        <v>55</v>
      </c>
      <c r="G15" s="81">
        <v>69477143896</v>
      </c>
      <c r="H15" s="81">
        <v>69477143896</v>
      </c>
      <c r="I15" s="61" t="str">
        <f t="shared" si="1"/>
        <v>CUMPLE</v>
      </c>
      <c r="J15" s="57"/>
    </row>
    <row r="16" spans="2:10" x14ac:dyDescent="0.2">
      <c r="B16" s="9">
        <v>7</v>
      </c>
      <c r="C16" s="52" t="s">
        <v>92</v>
      </c>
      <c r="D16" s="58"/>
      <c r="E16" s="80">
        <f t="shared" si="0"/>
        <v>69477143896</v>
      </c>
      <c r="F16" s="59" t="s">
        <v>55</v>
      </c>
      <c r="G16" s="81">
        <v>69477143896</v>
      </c>
      <c r="H16" s="81">
        <v>69477143896</v>
      </c>
      <c r="I16" s="61" t="str">
        <f t="shared" si="1"/>
        <v>CUMPLE</v>
      </c>
      <c r="J16" s="57"/>
    </row>
    <row r="17" spans="2:10" ht="45" x14ac:dyDescent="0.2">
      <c r="B17" s="10">
        <v>8</v>
      </c>
      <c r="C17" s="52" t="s">
        <v>93</v>
      </c>
      <c r="D17" s="58"/>
      <c r="E17" s="80">
        <f t="shared" si="0"/>
        <v>69477143896</v>
      </c>
      <c r="F17" s="59" t="s">
        <v>55</v>
      </c>
      <c r="G17" s="71">
        <v>69467719959.399994</v>
      </c>
      <c r="H17" s="71">
        <v>69467719959</v>
      </c>
      <c r="I17" s="61" t="s">
        <v>58</v>
      </c>
      <c r="J17" s="100" t="s">
        <v>114</v>
      </c>
    </row>
    <row r="18" spans="2:10" x14ac:dyDescent="0.2">
      <c r="B18" s="9">
        <v>9</v>
      </c>
      <c r="C18" s="52" t="s">
        <v>94</v>
      </c>
      <c r="D18" s="58"/>
      <c r="E18" s="80">
        <f t="shared" si="0"/>
        <v>69477143896</v>
      </c>
      <c r="F18" s="59" t="s">
        <v>55</v>
      </c>
      <c r="G18" s="81">
        <v>69477143896</v>
      </c>
      <c r="H18" s="81">
        <v>69477143896</v>
      </c>
      <c r="I18" s="61" t="str">
        <f t="shared" si="1"/>
        <v>CUMPLE</v>
      </c>
      <c r="J18" s="89"/>
    </row>
    <row r="19" spans="2:10" x14ac:dyDescent="0.2">
      <c r="B19" s="9">
        <v>10</v>
      </c>
      <c r="C19" s="52" t="s">
        <v>95</v>
      </c>
      <c r="D19" s="58"/>
      <c r="E19" s="80">
        <f t="shared" si="0"/>
        <v>69477143896</v>
      </c>
      <c r="F19" s="59" t="s">
        <v>55</v>
      </c>
      <c r="G19" s="81">
        <v>69477143896</v>
      </c>
      <c r="H19" s="81">
        <v>69477143896</v>
      </c>
      <c r="I19" s="61" t="str">
        <f t="shared" si="1"/>
        <v>CUMPLE</v>
      </c>
      <c r="J19" s="57"/>
    </row>
    <row r="20" spans="2:10" x14ac:dyDescent="0.2">
      <c r="B20" s="10">
        <v>11</v>
      </c>
      <c r="C20" s="53" t="s">
        <v>132</v>
      </c>
      <c r="D20" s="58"/>
      <c r="E20" s="80">
        <f t="shared" si="0"/>
        <v>69477143896</v>
      </c>
      <c r="F20" s="59" t="s">
        <v>55</v>
      </c>
      <c r="G20" s="81">
        <v>69477143600</v>
      </c>
      <c r="H20" s="90">
        <v>69477143600</v>
      </c>
      <c r="I20" s="61" t="str">
        <f t="shared" si="1"/>
        <v>CUMPLE</v>
      </c>
      <c r="J20" s="57"/>
    </row>
    <row r="21" spans="2:10" x14ac:dyDescent="0.2">
      <c r="B21" s="9">
        <v>12</v>
      </c>
      <c r="C21" s="53" t="s">
        <v>133</v>
      </c>
      <c r="D21" s="56"/>
      <c r="E21" s="80">
        <f t="shared" si="0"/>
        <v>69477143896</v>
      </c>
      <c r="F21" s="59" t="s">
        <v>55</v>
      </c>
      <c r="G21" s="81">
        <v>69477143896</v>
      </c>
      <c r="H21" s="81">
        <v>69477143896</v>
      </c>
      <c r="I21" s="61" t="str">
        <f t="shared" si="1"/>
        <v>CUMPLE</v>
      </c>
      <c r="J21" s="57"/>
    </row>
    <row r="22" spans="2:10" x14ac:dyDescent="0.2">
      <c r="B22" s="9">
        <v>13</v>
      </c>
      <c r="C22" s="53" t="s">
        <v>134</v>
      </c>
      <c r="D22" s="58"/>
      <c r="E22" s="80">
        <f t="shared" si="0"/>
        <v>69477143896</v>
      </c>
      <c r="F22" s="59" t="s">
        <v>55</v>
      </c>
      <c r="G22" s="81">
        <v>69394770475</v>
      </c>
      <c r="H22" s="81">
        <v>69394770475</v>
      </c>
      <c r="I22" s="61" t="str">
        <f t="shared" si="1"/>
        <v>CUMPLE</v>
      </c>
      <c r="J22" s="89"/>
    </row>
    <row r="23" spans="2:10" x14ac:dyDescent="0.2">
      <c r="B23" s="10">
        <v>14</v>
      </c>
      <c r="C23" s="53" t="s">
        <v>135</v>
      </c>
      <c r="D23" s="58"/>
      <c r="E23" s="80">
        <f t="shared" si="0"/>
        <v>69477143896</v>
      </c>
      <c r="F23" s="59" t="s">
        <v>55</v>
      </c>
      <c r="G23" s="81">
        <v>69477143896</v>
      </c>
      <c r="H23" s="81">
        <v>69477143896</v>
      </c>
      <c r="I23" s="61" t="str">
        <f t="shared" si="1"/>
        <v>CUMPLE</v>
      </c>
      <c r="J23" s="57"/>
    </row>
    <row r="24" spans="2:10" x14ac:dyDescent="0.2">
      <c r="B24" s="9">
        <v>15</v>
      </c>
      <c r="C24" s="53" t="s">
        <v>136</v>
      </c>
      <c r="D24" s="58"/>
      <c r="E24" s="80">
        <f t="shared" si="0"/>
        <v>69477143896</v>
      </c>
      <c r="F24" s="59" t="s">
        <v>55</v>
      </c>
      <c r="G24" s="81">
        <v>69477143896</v>
      </c>
      <c r="H24" s="81">
        <v>69477143896</v>
      </c>
      <c r="I24" s="61" t="str">
        <f t="shared" si="1"/>
        <v>CUMPLE</v>
      </c>
      <c r="J24" s="57"/>
    </row>
    <row r="25" spans="2:10" x14ac:dyDescent="0.2">
      <c r="B25" s="9">
        <v>16</v>
      </c>
      <c r="C25" s="53" t="s">
        <v>137</v>
      </c>
      <c r="D25" s="58"/>
      <c r="E25" s="80">
        <f t="shared" si="0"/>
        <v>69477143896</v>
      </c>
      <c r="F25" s="59" t="s">
        <v>55</v>
      </c>
      <c r="G25" s="81">
        <v>69477143896</v>
      </c>
      <c r="H25" s="81">
        <v>69477143896</v>
      </c>
      <c r="I25" s="61" t="str">
        <f t="shared" si="1"/>
        <v>CUMPLE</v>
      </c>
      <c r="J25" s="57"/>
    </row>
    <row r="26" spans="2:10" x14ac:dyDescent="0.2">
      <c r="B26" s="10">
        <v>17</v>
      </c>
      <c r="C26" s="53" t="s">
        <v>138</v>
      </c>
      <c r="D26" s="58"/>
      <c r="E26" s="80">
        <f t="shared" si="0"/>
        <v>69477143896</v>
      </c>
      <c r="F26" s="59" t="s">
        <v>55</v>
      </c>
      <c r="G26" s="81">
        <v>69477143896</v>
      </c>
      <c r="H26" s="81">
        <v>69477143896</v>
      </c>
      <c r="I26" s="61" t="str">
        <f t="shared" si="1"/>
        <v>CUMPLE</v>
      </c>
      <c r="J26" s="57"/>
    </row>
    <row r="27" spans="2:10" x14ac:dyDescent="0.2">
      <c r="B27" s="9">
        <v>18</v>
      </c>
      <c r="C27" s="53" t="s">
        <v>139</v>
      </c>
      <c r="D27" s="58"/>
      <c r="E27" s="80">
        <f t="shared" si="0"/>
        <v>69477143896</v>
      </c>
      <c r="F27" s="59" t="s">
        <v>55</v>
      </c>
      <c r="G27" s="81">
        <v>69477143880</v>
      </c>
      <c r="H27" s="81">
        <v>69477143880</v>
      </c>
      <c r="I27" s="61" t="str">
        <f t="shared" si="1"/>
        <v>CUMPLE</v>
      </c>
      <c r="J27" s="57"/>
    </row>
    <row r="28" spans="2:10" x14ac:dyDescent="0.2">
      <c r="B28" s="9">
        <v>19</v>
      </c>
      <c r="C28" s="53" t="s">
        <v>140</v>
      </c>
      <c r="D28" s="58"/>
      <c r="E28" s="80">
        <f t="shared" si="0"/>
        <v>69477143896</v>
      </c>
      <c r="F28" s="59" t="s">
        <v>55</v>
      </c>
      <c r="G28" s="81">
        <v>69477143896</v>
      </c>
      <c r="H28" s="81">
        <v>69477143896</v>
      </c>
      <c r="I28" s="61" t="str">
        <f t="shared" si="1"/>
        <v>CUMPLE</v>
      </c>
      <c r="J28" s="57"/>
    </row>
    <row r="29" spans="2:10" x14ac:dyDescent="0.2">
      <c r="B29" s="10">
        <v>20</v>
      </c>
      <c r="C29" s="53" t="s">
        <v>141</v>
      </c>
      <c r="D29" s="58"/>
      <c r="E29" s="80">
        <f t="shared" si="0"/>
        <v>69477143896</v>
      </c>
      <c r="F29" s="59" t="s">
        <v>55</v>
      </c>
      <c r="G29" s="81">
        <v>69477143880</v>
      </c>
      <c r="H29" s="71">
        <v>69477143880</v>
      </c>
      <c r="I29" s="61" t="str">
        <f t="shared" si="1"/>
        <v>CUMPLE</v>
      </c>
      <c r="J29" s="57"/>
    </row>
    <row r="30" spans="2:10" x14ac:dyDescent="0.2">
      <c r="B30" s="9">
        <v>21</v>
      </c>
      <c r="C30" s="53" t="s">
        <v>142</v>
      </c>
      <c r="D30" s="58"/>
      <c r="E30" s="80">
        <f t="shared" si="0"/>
        <v>69477143896</v>
      </c>
      <c r="F30" s="59" t="s">
        <v>55</v>
      </c>
      <c r="G30" s="71">
        <v>69477143896</v>
      </c>
      <c r="H30" s="71">
        <v>69477143896</v>
      </c>
      <c r="I30" s="61" t="str">
        <f t="shared" si="1"/>
        <v>CUMPLE</v>
      </c>
      <c r="J30" s="57"/>
    </row>
    <row r="31" spans="2:10" x14ac:dyDescent="0.2">
      <c r="B31" s="9">
        <v>22</v>
      </c>
      <c r="C31" s="53" t="s">
        <v>167</v>
      </c>
      <c r="D31" s="58"/>
      <c r="E31" s="80">
        <f t="shared" si="0"/>
        <v>69477143896</v>
      </c>
      <c r="F31" s="59" t="s">
        <v>55</v>
      </c>
      <c r="G31" s="71">
        <v>69477143896</v>
      </c>
      <c r="H31" s="71">
        <v>69477143896</v>
      </c>
      <c r="I31" s="61" t="str">
        <f t="shared" si="1"/>
        <v>CUMPLE</v>
      </c>
      <c r="J31" s="57"/>
    </row>
    <row r="32" spans="2:10" x14ac:dyDescent="0.2">
      <c r="B32" s="10">
        <v>23</v>
      </c>
      <c r="C32" s="53" t="s">
        <v>168</v>
      </c>
      <c r="D32" s="58"/>
      <c r="E32" s="80">
        <f t="shared" si="0"/>
        <v>69477143896</v>
      </c>
      <c r="F32" s="59" t="s">
        <v>55</v>
      </c>
      <c r="G32" s="71">
        <v>69477143896</v>
      </c>
      <c r="H32" s="71">
        <v>69477143896</v>
      </c>
      <c r="I32" s="61" t="str">
        <f t="shared" si="1"/>
        <v>CUMPLE</v>
      </c>
      <c r="J32" s="57"/>
    </row>
    <row r="33" spans="2:10" x14ac:dyDescent="0.2">
      <c r="B33" s="9">
        <v>24</v>
      </c>
      <c r="C33" s="53" t="s">
        <v>169</v>
      </c>
      <c r="D33" s="58"/>
      <c r="E33" s="80">
        <f t="shared" si="0"/>
        <v>69477143896</v>
      </c>
      <c r="F33" s="59" t="s">
        <v>55</v>
      </c>
      <c r="G33" s="71">
        <v>69477143896</v>
      </c>
      <c r="H33" s="71">
        <v>69477143896</v>
      </c>
      <c r="I33" s="61" t="str">
        <f t="shared" si="1"/>
        <v>CUMPLE</v>
      </c>
      <c r="J33" s="57"/>
    </row>
    <row r="34" spans="2:10" x14ac:dyDescent="0.2">
      <c r="B34" s="9">
        <v>25</v>
      </c>
      <c r="C34" s="53" t="s">
        <v>170</v>
      </c>
      <c r="D34" s="58"/>
      <c r="E34" s="80">
        <f t="shared" si="0"/>
        <v>69477143896</v>
      </c>
      <c r="F34" s="59" t="s">
        <v>55</v>
      </c>
      <c r="G34" s="71">
        <v>69477143896</v>
      </c>
      <c r="H34" s="71">
        <v>69477143896</v>
      </c>
      <c r="I34" s="61" t="str">
        <f t="shared" si="1"/>
        <v>CUMPLE</v>
      </c>
      <c r="J34" s="57"/>
    </row>
    <row r="35" spans="2:10" x14ac:dyDescent="0.2">
      <c r="B35" s="10">
        <v>26</v>
      </c>
      <c r="C35" s="53" t="s">
        <v>171</v>
      </c>
      <c r="D35" s="58"/>
      <c r="E35" s="80">
        <f t="shared" si="0"/>
        <v>69477143896</v>
      </c>
      <c r="F35" s="59" t="s">
        <v>55</v>
      </c>
      <c r="G35" s="71">
        <v>69477143896</v>
      </c>
      <c r="H35" s="71">
        <v>69477143896</v>
      </c>
      <c r="I35" s="61" t="str">
        <f t="shared" si="1"/>
        <v>CUMPLE</v>
      </c>
      <c r="J35" s="57"/>
    </row>
    <row r="36" spans="2:10" x14ac:dyDescent="0.2">
      <c r="B36" s="9">
        <v>27</v>
      </c>
      <c r="C36" s="53" t="s">
        <v>172</v>
      </c>
      <c r="D36" s="58"/>
      <c r="E36" s="80">
        <f t="shared" si="0"/>
        <v>69477143896</v>
      </c>
      <c r="F36" s="59" t="s">
        <v>55</v>
      </c>
      <c r="G36" s="71">
        <v>69477143896</v>
      </c>
      <c r="H36" s="71">
        <v>69477143896</v>
      </c>
      <c r="I36" s="61" t="str">
        <f t="shared" si="1"/>
        <v>CUMPLE</v>
      </c>
      <c r="J36" s="57"/>
    </row>
    <row r="37" spans="2:10" x14ac:dyDescent="0.2">
      <c r="B37" s="9">
        <v>28</v>
      </c>
      <c r="C37" s="53" t="s">
        <v>173</v>
      </c>
      <c r="D37" s="58"/>
      <c r="E37" s="80">
        <f t="shared" si="0"/>
        <v>69477143896</v>
      </c>
      <c r="F37" s="59" t="s">
        <v>55</v>
      </c>
      <c r="G37" s="71">
        <v>69477143896</v>
      </c>
      <c r="H37" s="71">
        <v>69477143896</v>
      </c>
      <c r="I37" s="61" t="str">
        <f t="shared" si="1"/>
        <v>CUMPLE</v>
      </c>
      <c r="J37" s="57"/>
    </row>
    <row r="38" spans="2:10" x14ac:dyDescent="0.2">
      <c r="B38" s="10">
        <v>29</v>
      </c>
      <c r="C38" s="53" t="s">
        <v>174</v>
      </c>
      <c r="D38" s="58"/>
      <c r="E38" s="80">
        <f t="shared" si="0"/>
        <v>69477143896</v>
      </c>
      <c r="F38" s="59" t="s">
        <v>55</v>
      </c>
      <c r="G38" s="71">
        <v>69477143896</v>
      </c>
      <c r="H38" s="71">
        <v>69477143896</v>
      </c>
      <c r="I38" s="61" t="str">
        <f t="shared" si="1"/>
        <v>CUMPLE</v>
      </c>
      <c r="J38" s="57"/>
    </row>
    <row r="39" spans="2:10" x14ac:dyDescent="0.2">
      <c r="B39" s="9">
        <v>30</v>
      </c>
      <c r="C39" s="53" t="s">
        <v>175</v>
      </c>
      <c r="D39" s="58"/>
      <c r="E39" s="80">
        <f t="shared" si="0"/>
        <v>69477143896</v>
      </c>
      <c r="F39" s="59" t="s">
        <v>55</v>
      </c>
      <c r="G39" s="71">
        <v>69477143896</v>
      </c>
      <c r="H39" s="71">
        <v>69477143896</v>
      </c>
      <c r="I39" s="61" t="str">
        <f t="shared" si="1"/>
        <v>CUMPLE</v>
      </c>
      <c r="J39" s="57"/>
    </row>
    <row r="40" spans="2:10" x14ac:dyDescent="0.2">
      <c r="B40" s="148">
        <v>31</v>
      </c>
      <c r="C40" s="149" t="s">
        <v>206</v>
      </c>
      <c r="D40" s="58"/>
      <c r="E40" s="80">
        <f t="shared" si="0"/>
        <v>69477143896</v>
      </c>
      <c r="F40" s="150" t="s">
        <v>55</v>
      </c>
      <c r="G40" s="151">
        <v>69477143896</v>
      </c>
      <c r="H40" s="151">
        <v>69477143896</v>
      </c>
      <c r="I40" s="152" t="str">
        <f t="shared" si="1"/>
        <v>CUMPLE</v>
      </c>
      <c r="J40" s="57"/>
    </row>
    <row r="41" spans="2:10" x14ac:dyDescent="0.2">
      <c r="B41" s="148">
        <v>32</v>
      </c>
      <c r="C41" s="149" t="s">
        <v>207</v>
      </c>
      <c r="D41" s="58"/>
      <c r="E41" s="80">
        <f t="shared" si="0"/>
        <v>69477143896</v>
      </c>
      <c r="F41" s="150" t="s">
        <v>55</v>
      </c>
      <c r="G41" s="151">
        <v>69477143896</v>
      </c>
      <c r="H41" s="151">
        <v>69477143896</v>
      </c>
      <c r="I41" s="152" t="str">
        <f t="shared" si="1"/>
        <v>CUMPLE</v>
      </c>
      <c r="J41" s="57"/>
    </row>
    <row r="42" spans="2:10" x14ac:dyDescent="0.2">
      <c r="B42" s="148">
        <v>33</v>
      </c>
      <c r="C42" s="149" t="s">
        <v>208</v>
      </c>
      <c r="D42" s="58"/>
      <c r="E42" s="80">
        <f t="shared" si="0"/>
        <v>69477143896</v>
      </c>
      <c r="F42" s="150" t="s">
        <v>55</v>
      </c>
      <c r="G42" s="151">
        <v>69477143896</v>
      </c>
      <c r="H42" s="151">
        <v>69477143896</v>
      </c>
      <c r="I42" s="152" t="str">
        <f t="shared" si="1"/>
        <v>CUMPLE</v>
      </c>
      <c r="J42" s="57"/>
    </row>
    <row r="43" spans="2:10" x14ac:dyDescent="0.2">
      <c r="B43" s="148">
        <v>34</v>
      </c>
      <c r="C43" s="149" t="s">
        <v>209</v>
      </c>
      <c r="D43" s="58"/>
      <c r="E43" s="80">
        <f t="shared" si="0"/>
        <v>69477143896</v>
      </c>
      <c r="F43" s="150" t="s">
        <v>55</v>
      </c>
      <c r="G43" s="151">
        <v>69477143896</v>
      </c>
      <c r="H43" s="151">
        <v>69477143896</v>
      </c>
      <c r="I43" s="152" t="str">
        <f t="shared" si="1"/>
        <v>CUMPLE</v>
      </c>
      <c r="J43" s="57"/>
    </row>
    <row r="44" spans="2:10" x14ac:dyDescent="0.2">
      <c r="B44" s="148">
        <v>35</v>
      </c>
      <c r="C44" s="149" t="s">
        <v>210</v>
      </c>
      <c r="D44" s="56"/>
      <c r="E44" s="80">
        <f t="shared" si="0"/>
        <v>69477143896</v>
      </c>
      <c r="F44" s="150" t="s">
        <v>55</v>
      </c>
      <c r="G44" s="151">
        <v>69476900000</v>
      </c>
      <c r="H44" s="151">
        <v>69476900000</v>
      </c>
      <c r="I44" s="152" t="str">
        <f t="shared" si="1"/>
        <v>CUMPLE</v>
      </c>
      <c r="J44" s="57"/>
    </row>
    <row r="45" spans="2:10" x14ac:dyDescent="0.2">
      <c r="B45" s="148">
        <v>36</v>
      </c>
      <c r="C45" s="149" t="s">
        <v>211</v>
      </c>
      <c r="D45" s="58"/>
      <c r="E45" s="80">
        <f t="shared" si="0"/>
        <v>69477143896</v>
      </c>
      <c r="F45" s="150" t="s">
        <v>55</v>
      </c>
      <c r="G45" s="151">
        <v>69477143896</v>
      </c>
      <c r="H45" s="151">
        <v>69477143896</v>
      </c>
      <c r="I45" s="152" t="str">
        <f t="shared" si="1"/>
        <v>CUMPLE</v>
      </c>
      <c r="J45" s="57"/>
    </row>
    <row r="46" spans="2:10" x14ac:dyDescent="0.2">
      <c r="B46" s="148">
        <v>37</v>
      </c>
      <c r="C46" s="149" t="s">
        <v>212</v>
      </c>
      <c r="D46" s="58"/>
      <c r="E46" s="80">
        <f t="shared" si="0"/>
        <v>69477143896</v>
      </c>
      <c r="F46" s="150" t="s">
        <v>55</v>
      </c>
      <c r="G46" s="153">
        <v>69477143896</v>
      </c>
      <c r="H46" s="153">
        <v>69477143896</v>
      </c>
      <c r="I46" s="152" t="str">
        <f t="shared" si="1"/>
        <v>CUMPLE</v>
      </c>
      <c r="J46" s="57"/>
    </row>
    <row r="47" spans="2:10" x14ac:dyDescent="0.2">
      <c r="B47" s="148">
        <v>38</v>
      </c>
      <c r="C47" s="149" t="s">
        <v>213</v>
      </c>
      <c r="D47" s="58"/>
      <c r="E47" s="80">
        <f t="shared" si="0"/>
        <v>69477143896</v>
      </c>
      <c r="F47" s="150" t="s">
        <v>55</v>
      </c>
      <c r="G47" s="153">
        <v>69477143895</v>
      </c>
      <c r="H47" s="153">
        <v>69477143895</v>
      </c>
      <c r="I47" s="152" t="str">
        <f t="shared" si="1"/>
        <v>CUMPLE</v>
      </c>
      <c r="J47" s="57"/>
    </row>
    <row r="48" spans="2:10" x14ac:dyDescent="0.2">
      <c r="B48" s="148">
        <v>39</v>
      </c>
      <c r="C48" s="149" t="s">
        <v>214</v>
      </c>
      <c r="D48" s="58"/>
      <c r="E48" s="80">
        <f t="shared" si="0"/>
        <v>69477143896</v>
      </c>
      <c r="F48" s="150" t="s">
        <v>55</v>
      </c>
      <c r="G48" s="153">
        <v>69477143896</v>
      </c>
      <c r="H48" s="153">
        <v>69477143896</v>
      </c>
      <c r="I48" s="152" t="str">
        <f t="shared" si="1"/>
        <v>CUMPLE</v>
      </c>
      <c r="J48" s="57"/>
    </row>
    <row r="49" spans="2:10" x14ac:dyDescent="0.2">
      <c r="B49" s="148">
        <v>40</v>
      </c>
      <c r="C49" s="149" t="s">
        <v>215</v>
      </c>
      <c r="D49" s="58"/>
      <c r="E49" s="80">
        <f t="shared" si="0"/>
        <v>69477143896</v>
      </c>
      <c r="F49" s="150" t="s">
        <v>55</v>
      </c>
      <c r="G49" s="151">
        <v>0</v>
      </c>
      <c r="H49" s="151">
        <v>0</v>
      </c>
      <c r="I49" s="152" t="str">
        <f t="shared" si="1"/>
        <v>NO CUMPLE</v>
      </c>
      <c r="J49" s="57"/>
    </row>
    <row r="50" spans="2:10" x14ac:dyDescent="0.2">
      <c r="B50" s="148">
        <v>41</v>
      </c>
      <c r="C50" s="149" t="s">
        <v>216</v>
      </c>
      <c r="D50" s="58"/>
      <c r="E50" s="80">
        <f t="shared" si="0"/>
        <v>69477143896</v>
      </c>
      <c r="F50" s="150" t="s">
        <v>55</v>
      </c>
      <c r="G50" s="151">
        <v>69477143896</v>
      </c>
      <c r="H50" s="151">
        <v>69477143896</v>
      </c>
      <c r="I50" s="152" t="str">
        <f t="shared" si="1"/>
        <v>CUMPLE</v>
      </c>
      <c r="J50" s="57"/>
    </row>
    <row r="51" spans="2:10" x14ac:dyDescent="0.2">
      <c r="B51" s="9"/>
      <c r="D51" s="58"/>
      <c r="E51" s="80"/>
      <c r="F51" s="59"/>
      <c r="G51" s="71"/>
      <c r="H51" s="71"/>
      <c r="I51" s="61"/>
      <c r="J51" s="57"/>
    </row>
    <row r="52" spans="2:10" x14ac:dyDescent="0.2">
      <c r="B52" s="9"/>
      <c r="C52" s="85"/>
      <c r="D52" s="58"/>
      <c r="E52" s="80"/>
      <c r="F52" s="59"/>
      <c r="G52" s="71"/>
      <c r="H52" s="71"/>
      <c r="I52" s="61"/>
      <c r="J52" s="57"/>
    </row>
    <row r="53" spans="2:10" x14ac:dyDescent="0.2">
      <c r="B53" s="10"/>
      <c r="C53" s="53"/>
      <c r="D53" s="58"/>
      <c r="E53" s="80"/>
      <c r="F53" s="59"/>
      <c r="G53" s="71"/>
      <c r="H53" s="71"/>
      <c r="I53" s="61"/>
      <c r="J53" s="57"/>
    </row>
    <row r="54" spans="2:10" x14ac:dyDescent="0.2">
      <c r="B54" s="9"/>
      <c r="C54" s="88"/>
      <c r="D54" s="58"/>
      <c r="E54" s="80"/>
      <c r="F54" s="59"/>
      <c r="G54" s="71"/>
      <c r="H54" s="71"/>
      <c r="I54" s="61"/>
      <c r="J54" s="57"/>
    </row>
    <row r="55" spans="2:10" x14ac:dyDescent="0.2">
      <c r="B55" s="9"/>
      <c r="C55" s="88"/>
      <c r="D55" s="58"/>
      <c r="E55" s="80"/>
      <c r="F55" s="59"/>
      <c r="G55" s="71"/>
      <c r="H55" s="71"/>
      <c r="I55" s="61"/>
      <c r="J55" s="57"/>
    </row>
    <row r="56" spans="2:10" x14ac:dyDescent="0.2">
      <c r="B56" s="10"/>
      <c r="C56" s="53"/>
      <c r="D56" s="58"/>
      <c r="E56" s="80"/>
      <c r="F56" s="59"/>
      <c r="G56" s="71"/>
      <c r="H56" s="96"/>
      <c r="I56" s="61"/>
      <c r="J56" s="57"/>
    </row>
    <row r="57" spans="2:10" x14ac:dyDescent="0.2">
      <c r="B57" s="9"/>
      <c r="C57" s="88"/>
      <c r="D57" s="58"/>
      <c r="E57" s="80"/>
      <c r="F57" s="59"/>
      <c r="G57" s="71"/>
      <c r="H57" s="71"/>
      <c r="I57" s="61"/>
      <c r="J57" s="57"/>
    </row>
    <row r="58" spans="2:10" x14ac:dyDescent="0.2">
      <c r="B58" s="9"/>
      <c r="C58" s="53"/>
      <c r="D58" s="58"/>
      <c r="E58" s="80"/>
      <c r="F58" s="59"/>
      <c r="G58" s="71"/>
      <c r="H58" s="71"/>
      <c r="I58" s="61"/>
      <c r="J58" s="57"/>
    </row>
    <row r="59" spans="2:10" x14ac:dyDescent="0.2">
      <c r="B59" s="10"/>
      <c r="C59" s="53"/>
      <c r="D59" s="58"/>
      <c r="E59" s="80"/>
      <c r="F59" s="59"/>
      <c r="G59" s="71"/>
      <c r="H59" s="71"/>
      <c r="I59" s="61"/>
      <c r="J59" s="57"/>
    </row>
    <row r="60" spans="2:10" x14ac:dyDescent="0.2">
      <c r="B60" s="9"/>
      <c r="C60" s="53"/>
      <c r="D60" s="58"/>
      <c r="E60" s="80"/>
      <c r="F60" s="59"/>
      <c r="G60" s="71"/>
      <c r="H60" s="71"/>
      <c r="I60" s="61"/>
      <c r="J60" s="57"/>
    </row>
    <row r="61" spans="2:10" x14ac:dyDescent="0.2">
      <c r="B61" s="9"/>
      <c r="C61" s="53"/>
      <c r="D61" s="58"/>
      <c r="E61" s="80"/>
      <c r="F61" s="59"/>
      <c r="G61" s="71"/>
      <c r="H61" s="71"/>
      <c r="I61" s="61"/>
      <c r="J61" s="57"/>
    </row>
    <row r="62" spans="2:10" x14ac:dyDescent="0.2">
      <c r="B62" s="10"/>
      <c r="C62" s="53"/>
      <c r="D62" s="58"/>
      <c r="E62" s="80"/>
      <c r="F62" s="59"/>
      <c r="G62" s="71"/>
      <c r="H62" s="71"/>
      <c r="I62" s="61"/>
      <c r="J62" s="57"/>
    </row>
    <row r="63" spans="2:10" x14ac:dyDescent="0.2">
      <c r="B63" s="9"/>
      <c r="C63" s="53"/>
      <c r="D63" s="58"/>
      <c r="E63" s="80"/>
      <c r="F63" s="59"/>
      <c r="G63" s="71"/>
      <c r="H63" s="71"/>
      <c r="I63" s="61"/>
      <c r="J63" s="57"/>
    </row>
    <row r="64" spans="2:10" x14ac:dyDescent="0.2">
      <c r="B64" s="9"/>
      <c r="C64" s="53"/>
      <c r="D64" s="58"/>
      <c r="E64" s="80"/>
      <c r="F64" s="59"/>
      <c r="G64" s="71"/>
      <c r="H64" s="71"/>
      <c r="I64" s="61"/>
      <c r="J64" s="57"/>
    </row>
    <row r="65" spans="2:10" x14ac:dyDescent="0.2">
      <c r="B65" s="10"/>
      <c r="C65" s="53"/>
      <c r="D65" s="58"/>
      <c r="E65" s="80"/>
      <c r="F65" s="59"/>
      <c r="G65" s="71"/>
      <c r="H65" s="71"/>
      <c r="I65" s="61"/>
      <c r="J65" s="57"/>
    </row>
    <row r="66" spans="2:10" x14ac:dyDescent="0.2">
      <c r="B66" s="9"/>
      <c r="C66" s="53"/>
      <c r="D66" s="58"/>
      <c r="E66" s="80"/>
      <c r="F66" s="59"/>
      <c r="G66" s="71"/>
      <c r="H66" s="71"/>
      <c r="I66" s="61"/>
      <c r="J66" s="57"/>
    </row>
    <row r="67" spans="2:10" x14ac:dyDescent="0.2">
      <c r="B67" s="9"/>
      <c r="C67" s="53"/>
      <c r="D67" s="58"/>
      <c r="E67" s="80"/>
      <c r="F67" s="59"/>
      <c r="G67" s="71"/>
      <c r="H67" s="71"/>
      <c r="I67" s="61"/>
      <c r="J67" s="57"/>
    </row>
    <row r="68" spans="2:10" x14ac:dyDescent="0.2">
      <c r="B68" s="10"/>
      <c r="C68" s="53"/>
      <c r="D68" s="58"/>
      <c r="E68" s="80"/>
      <c r="F68" s="59"/>
      <c r="G68" s="71"/>
      <c r="H68" s="71"/>
      <c r="I68" s="61"/>
      <c r="J68" s="57"/>
    </row>
    <row r="69" spans="2:10" x14ac:dyDescent="0.2">
      <c r="B69" s="9"/>
      <c r="C69" s="53"/>
      <c r="D69" s="58"/>
      <c r="E69" s="80"/>
      <c r="F69" s="59"/>
      <c r="G69" s="71"/>
      <c r="H69" s="71"/>
      <c r="I69" s="61"/>
      <c r="J69" s="57"/>
    </row>
    <row r="70" spans="2:10" x14ac:dyDescent="0.2">
      <c r="B70" s="9"/>
      <c r="C70" s="53"/>
      <c r="D70" s="58"/>
      <c r="E70" s="80"/>
      <c r="F70" s="59"/>
      <c r="G70" s="71"/>
      <c r="H70" s="71"/>
      <c r="I70" s="61"/>
      <c r="J70" s="57"/>
    </row>
    <row r="71" spans="2:10" x14ac:dyDescent="0.2">
      <c r="B71" s="10"/>
      <c r="C71" s="53"/>
      <c r="D71" s="58"/>
      <c r="E71" s="80"/>
      <c r="F71" s="59"/>
      <c r="G71" s="71"/>
      <c r="H71" s="71"/>
      <c r="I71" s="61"/>
      <c r="J71" s="57"/>
    </row>
    <row r="72" spans="2:10" x14ac:dyDescent="0.2">
      <c r="B72" s="9"/>
      <c r="C72" s="53"/>
      <c r="D72" s="58"/>
      <c r="E72" s="80"/>
      <c r="F72" s="59"/>
      <c r="G72" s="71"/>
      <c r="H72" s="71"/>
      <c r="I72" s="61"/>
      <c r="J72" s="57"/>
    </row>
    <row r="73" spans="2:10" x14ac:dyDescent="0.2">
      <c r="B73" s="9"/>
      <c r="C73" s="53"/>
      <c r="D73" s="58"/>
      <c r="E73" s="80"/>
      <c r="F73" s="59"/>
      <c r="G73" s="71"/>
      <c r="H73" s="71"/>
      <c r="I73" s="61"/>
      <c r="J73" s="57"/>
    </row>
    <row r="74" spans="2:10" x14ac:dyDescent="0.2">
      <c r="B74" s="9"/>
      <c r="C74" s="53"/>
      <c r="D74" s="58"/>
      <c r="E74" s="80"/>
      <c r="F74" s="59"/>
      <c r="G74" s="71"/>
      <c r="H74" s="71"/>
      <c r="I74" s="61"/>
      <c r="J74" s="57"/>
    </row>
    <row r="75" spans="2:10" x14ac:dyDescent="0.2">
      <c r="B75" s="9"/>
      <c r="C75" s="53"/>
      <c r="D75" s="58"/>
      <c r="E75" s="80"/>
      <c r="F75" s="59"/>
      <c r="G75" s="71"/>
      <c r="H75" s="71"/>
      <c r="I75" s="61"/>
      <c r="J75" s="57"/>
    </row>
    <row r="76" spans="2:10" x14ac:dyDescent="0.2">
      <c r="B76" s="9"/>
      <c r="C76" s="53"/>
      <c r="D76" s="58"/>
      <c r="E76" s="80"/>
      <c r="F76" s="59"/>
      <c r="G76" s="71"/>
      <c r="H76" s="71"/>
      <c r="I76" s="61"/>
      <c r="J76" s="57"/>
    </row>
    <row r="77" spans="2:10" x14ac:dyDescent="0.2">
      <c r="B77" s="9"/>
      <c r="C77" s="53"/>
      <c r="D77" s="58"/>
      <c r="E77" s="80"/>
      <c r="F77" s="59"/>
      <c r="G77" s="71"/>
      <c r="H77" s="71"/>
      <c r="I77" s="61"/>
      <c r="J77" s="57"/>
    </row>
    <row r="78" spans="2:10" x14ac:dyDescent="0.2">
      <c r="B78" s="9"/>
      <c r="C78" s="53"/>
      <c r="D78" s="58"/>
      <c r="E78" s="80"/>
      <c r="F78" s="59"/>
      <c r="G78" s="71"/>
      <c r="H78" s="71"/>
      <c r="I78" s="61"/>
      <c r="J78" s="57"/>
    </row>
    <row r="79" spans="2:10" x14ac:dyDescent="0.2">
      <c r="B79" s="9"/>
      <c r="C79" s="53"/>
      <c r="D79" s="58"/>
      <c r="E79" s="80"/>
      <c r="F79" s="59"/>
      <c r="G79" s="71"/>
      <c r="H79" s="71"/>
      <c r="I79" s="61"/>
      <c r="J79" s="57"/>
    </row>
    <row r="80" spans="2:10" x14ac:dyDescent="0.2">
      <c r="B80" s="9"/>
      <c r="C80" s="53"/>
      <c r="D80" s="58"/>
      <c r="E80" s="80"/>
      <c r="F80" s="59"/>
      <c r="G80" s="71"/>
      <c r="H80" s="71"/>
      <c r="I80" s="61"/>
      <c r="J80" s="57"/>
    </row>
    <row r="81" spans="2:10" x14ac:dyDescent="0.2">
      <c r="B81" s="9"/>
      <c r="C81" s="53"/>
      <c r="D81" s="58"/>
      <c r="E81" s="80"/>
      <c r="F81" s="59"/>
      <c r="G81" s="71"/>
      <c r="H81" s="71"/>
      <c r="I81" s="61"/>
      <c r="J81" s="57"/>
    </row>
    <row r="82" spans="2:10" x14ac:dyDescent="0.2">
      <c r="B82" s="9"/>
      <c r="C82" s="53"/>
      <c r="D82" s="58"/>
      <c r="E82" s="80"/>
      <c r="F82" s="59"/>
      <c r="G82" s="71"/>
      <c r="H82" s="71"/>
      <c r="I82" s="61"/>
      <c r="J82" s="57"/>
    </row>
    <row r="83" spans="2:10" x14ac:dyDescent="0.2">
      <c r="B83" s="9"/>
      <c r="C83" s="53"/>
      <c r="D83" s="58"/>
      <c r="E83" s="80"/>
      <c r="F83" s="59"/>
      <c r="G83" s="71"/>
      <c r="H83" s="71"/>
      <c r="I83" s="61"/>
      <c r="J83" s="57"/>
    </row>
    <row r="84" spans="2:10" x14ac:dyDescent="0.2">
      <c r="B84" s="9"/>
      <c r="C84" s="53"/>
      <c r="D84" s="58"/>
      <c r="E84" s="80"/>
      <c r="F84" s="59"/>
      <c r="G84" s="71"/>
      <c r="H84" s="71"/>
      <c r="I84" s="61"/>
      <c r="J84" s="57"/>
    </row>
    <row r="85" spans="2:10" x14ac:dyDescent="0.2">
      <c r="B85" s="9"/>
      <c r="C85" s="53"/>
      <c r="D85" s="58"/>
      <c r="E85" s="80"/>
      <c r="F85" s="59"/>
      <c r="G85" s="71"/>
      <c r="H85" s="71"/>
      <c r="I85" s="61"/>
      <c r="J85" s="57"/>
    </row>
    <row r="86" spans="2:10" x14ac:dyDescent="0.2">
      <c r="B86" s="9"/>
      <c r="C86" s="53"/>
      <c r="D86" s="58"/>
      <c r="E86" s="80"/>
      <c r="F86" s="59"/>
      <c r="G86" s="71"/>
      <c r="H86" s="71"/>
      <c r="I86" s="61"/>
      <c r="J86" s="57"/>
    </row>
    <row r="87" spans="2:10" x14ac:dyDescent="0.2">
      <c r="B87" s="9"/>
      <c r="C87" s="53"/>
      <c r="D87" s="58"/>
      <c r="E87" s="80"/>
      <c r="F87" s="59"/>
      <c r="G87" s="71"/>
      <c r="H87" s="71"/>
      <c r="I87" s="61"/>
      <c r="J87" s="57"/>
    </row>
    <row r="88" spans="2:10" x14ac:dyDescent="0.2">
      <c r="B88" s="9"/>
      <c r="C88" s="53"/>
      <c r="D88" s="58"/>
      <c r="E88" s="80"/>
      <c r="F88" s="59"/>
      <c r="G88" s="71"/>
      <c r="H88" s="71"/>
      <c r="I88" s="61"/>
      <c r="J88" s="57"/>
    </row>
    <row r="89" spans="2:10" x14ac:dyDescent="0.2">
      <c r="B89" s="9"/>
      <c r="C89" s="53"/>
      <c r="D89" s="58"/>
      <c r="E89" s="80"/>
      <c r="F89" s="59"/>
      <c r="G89" s="71"/>
      <c r="H89" s="71"/>
      <c r="I89" s="61"/>
      <c r="J89" s="57"/>
    </row>
    <row r="90" spans="2:10" x14ac:dyDescent="0.2">
      <c r="B90" s="9"/>
      <c r="C90" s="53"/>
      <c r="D90" s="58"/>
      <c r="E90" s="80"/>
      <c r="F90" s="59"/>
      <c r="G90" s="71"/>
      <c r="H90" s="71"/>
      <c r="I90" s="61"/>
      <c r="J90" s="57"/>
    </row>
    <row r="91" spans="2:10" x14ac:dyDescent="0.2">
      <c r="B91" s="9"/>
      <c r="C91" s="53"/>
      <c r="D91" s="58"/>
      <c r="E91" s="80"/>
      <c r="F91" s="59"/>
      <c r="G91" s="71"/>
      <c r="H91" s="71"/>
      <c r="I91" s="61"/>
      <c r="J91" s="57"/>
    </row>
    <row r="92" spans="2:10" x14ac:dyDescent="0.2">
      <c r="B92" s="9"/>
      <c r="C92" s="53"/>
      <c r="D92" s="58"/>
      <c r="E92" s="80"/>
      <c r="F92" s="59"/>
      <c r="G92" s="71"/>
      <c r="H92" s="71"/>
      <c r="I92" s="61"/>
      <c r="J92" s="57"/>
    </row>
    <row r="93" spans="2:10" x14ac:dyDescent="0.2">
      <c r="B93" s="9"/>
      <c r="C93" s="53"/>
      <c r="D93" s="58"/>
      <c r="E93" s="80"/>
      <c r="F93" s="59"/>
      <c r="G93" s="71"/>
      <c r="H93" s="71"/>
      <c r="I93" s="61"/>
      <c r="J93" s="57"/>
    </row>
    <row r="94" spans="2:10" x14ac:dyDescent="0.2">
      <c r="B94" s="9"/>
      <c r="C94" s="53"/>
      <c r="D94" s="58"/>
      <c r="E94" s="80"/>
      <c r="F94" s="59"/>
      <c r="G94" s="71"/>
      <c r="H94" s="71"/>
      <c r="I94" s="61"/>
      <c r="J94" s="57"/>
    </row>
    <row r="95" spans="2:10" x14ac:dyDescent="0.2">
      <c r="B95" s="9"/>
      <c r="C95" s="53"/>
      <c r="D95" s="58"/>
      <c r="E95" s="81"/>
      <c r="F95" s="59"/>
      <c r="G95" s="71"/>
      <c r="H95" s="71"/>
      <c r="I95" s="61"/>
      <c r="J95" s="57"/>
    </row>
    <row r="96" spans="2:10" x14ac:dyDescent="0.2">
      <c r="B96" s="9"/>
      <c r="C96" s="53"/>
      <c r="D96" s="58"/>
      <c r="E96" s="81"/>
      <c r="F96" s="59"/>
      <c r="G96" s="71"/>
      <c r="H96" s="71"/>
      <c r="I96" s="61"/>
      <c r="J96" s="57"/>
    </row>
    <row r="97" spans="2:10" x14ac:dyDescent="0.2">
      <c r="B97" s="9"/>
      <c r="C97" s="53"/>
      <c r="D97" s="58"/>
      <c r="E97" s="81"/>
      <c r="F97" s="59"/>
      <c r="G97" s="71"/>
      <c r="H97" s="71"/>
      <c r="I97" s="61"/>
      <c r="J97" s="57"/>
    </row>
    <row r="98" spans="2:10" x14ac:dyDescent="0.2">
      <c r="B98" s="9"/>
      <c r="C98" s="53"/>
      <c r="D98" s="58"/>
      <c r="E98" s="81"/>
      <c r="F98" s="59"/>
      <c r="G98" s="71"/>
      <c r="H98" s="71"/>
      <c r="I98" s="61"/>
      <c r="J98" s="57"/>
    </row>
    <row r="99" spans="2:10" x14ac:dyDescent="0.2">
      <c r="B99" s="9"/>
      <c r="C99" s="53"/>
      <c r="D99" s="58"/>
      <c r="E99" s="81"/>
      <c r="F99" s="59"/>
      <c r="G99" s="71"/>
      <c r="H99" s="71"/>
      <c r="I99" s="61"/>
      <c r="J99" s="57"/>
    </row>
    <row r="100" spans="2:10" x14ac:dyDescent="0.2">
      <c r="B100" s="9"/>
      <c r="C100" s="53"/>
      <c r="D100" s="58"/>
      <c r="E100" s="81"/>
      <c r="F100" s="59"/>
      <c r="G100" s="71"/>
      <c r="H100" s="71"/>
      <c r="I100" s="61"/>
      <c r="J100" s="57"/>
    </row>
  </sheetData>
  <mergeCells count="3">
    <mergeCell ref="E6:F6"/>
    <mergeCell ref="B8:J8"/>
    <mergeCell ref="F2:H5"/>
  </mergeCells>
  <dataValidations count="1">
    <dataValidation type="list" allowBlank="1" showInputMessage="1" showErrorMessage="1" sqref="F10:F100" xr:uid="{C4C923A2-C181-46BA-BDBB-1BD82C6E9FED}">
      <formula1>"SI,NO"</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3477F-9A1E-4B94-BBCD-DB2FBD5CC430}">
  <sheetPr codeName="Hoja2">
    <tabColor rgb="FF92D050"/>
  </sheetPr>
  <dimension ref="A2:AW164"/>
  <sheetViews>
    <sheetView showGridLines="0" tabSelected="1" zoomScale="57" zoomScaleNormal="100" workbookViewId="0">
      <selection activeCell="W164" sqref="W164"/>
    </sheetView>
  </sheetViews>
  <sheetFormatPr baseColWidth="10" defaultColWidth="11.5" defaultRowHeight="14" x14ac:dyDescent="0.15"/>
  <cols>
    <col min="1" max="1" width="3.6640625" style="1" customWidth="1"/>
    <col min="2" max="2" width="3.5" style="1" customWidth="1"/>
    <col min="3" max="3" width="10.5" style="1" customWidth="1"/>
    <col min="4" max="4" width="6.33203125" style="1" customWidth="1"/>
    <col min="5" max="5" width="58.1640625" style="1" customWidth="1"/>
    <col min="6" max="6" width="13.33203125" style="99" customWidth="1"/>
    <col min="7" max="8" width="8" style="1" customWidth="1"/>
    <col min="9" max="9" width="15.83203125" style="1" customWidth="1"/>
    <col min="10" max="10" width="14.83203125" style="1" customWidth="1"/>
    <col min="11" max="11" width="11.33203125" style="1" customWidth="1"/>
    <col min="12" max="12" width="15.1640625" style="1" customWidth="1"/>
    <col min="13" max="13" width="17.83203125" style="1" customWidth="1"/>
    <col min="14" max="14" width="11.83203125" style="1" customWidth="1"/>
    <col min="15" max="15" width="13.5" style="1" customWidth="1"/>
    <col min="16" max="16" width="13.6640625" style="1" customWidth="1"/>
    <col min="17" max="17" width="16" style="1" customWidth="1"/>
    <col min="18" max="20" width="12.1640625" style="1" customWidth="1"/>
    <col min="21" max="21" width="21.6640625" style="84" customWidth="1"/>
    <col min="22" max="22" width="22.6640625" style="84" customWidth="1"/>
    <col min="23" max="23" width="20.1640625" style="84" customWidth="1"/>
    <col min="24" max="24" width="22.83203125" style="84" customWidth="1"/>
    <col min="25" max="25" width="21.33203125" style="84" customWidth="1"/>
    <col min="26" max="26" width="20.6640625" style="84" customWidth="1"/>
    <col min="27" max="27" width="21.5" style="84" customWidth="1"/>
    <col min="28" max="28" width="28.1640625" style="1" customWidth="1"/>
    <col min="29" max="29" width="29" style="1" customWidth="1"/>
    <col min="30" max="30" width="18.83203125" style="1" customWidth="1"/>
    <col min="31" max="31" width="17.6640625" style="1" customWidth="1"/>
    <col min="32" max="32" width="5.1640625" style="1" customWidth="1"/>
    <col min="33" max="33" width="14.5" style="1" customWidth="1"/>
    <col min="34" max="34" width="18.33203125" style="1" customWidth="1"/>
    <col min="35" max="40" width="12.6640625" style="1" customWidth="1"/>
    <col min="41" max="42" width="12.6640625" style="94" customWidth="1"/>
    <col min="43" max="43" width="13.5" style="94" customWidth="1"/>
    <col min="44" max="44" width="11.6640625" style="94" customWidth="1"/>
    <col min="45" max="45" width="13.6640625" style="1" customWidth="1"/>
    <col min="46" max="47" width="23.83203125" style="1" customWidth="1"/>
    <col min="48" max="49" width="53.5" style="1" bestFit="1" customWidth="1"/>
    <col min="50" max="50" width="18.5" style="1" bestFit="1" customWidth="1"/>
    <col min="51" max="51" width="18.33203125" style="1" bestFit="1" customWidth="1"/>
    <col min="52" max="52" width="13.83203125" style="1" customWidth="1"/>
    <col min="53" max="55" width="11.5" style="1"/>
    <col min="56" max="56" width="18.83203125" style="1" bestFit="1" customWidth="1"/>
    <col min="57" max="57" width="18.6640625" style="1" bestFit="1" customWidth="1"/>
    <col min="58" max="58" width="13.5" style="1" bestFit="1" customWidth="1"/>
    <col min="59" max="61" width="11.5" style="1"/>
    <col min="62" max="62" width="18.83203125" style="1" bestFit="1" customWidth="1"/>
    <col min="63" max="63" width="18.6640625" style="1" bestFit="1" customWidth="1"/>
    <col min="64" max="64" width="14.83203125" style="1" bestFit="1" customWidth="1"/>
    <col min="65" max="16384" width="11.5" style="1"/>
  </cols>
  <sheetData>
    <row r="2" spans="1:49" ht="38.5" customHeight="1" x14ac:dyDescent="0.15">
      <c r="A2" s="107" t="s">
        <v>7</v>
      </c>
      <c r="B2" s="108"/>
      <c r="C2" s="109"/>
      <c r="E2" s="131" t="s">
        <v>46</v>
      </c>
      <c r="F2" s="131"/>
      <c r="G2" s="131"/>
      <c r="H2" s="131"/>
      <c r="I2" s="131"/>
      <c r="J2" s="131"/>
      <c r="K2" s="131"/>
      <c r="L2" s="131"/>
      <c r="M2" s="131"/>
      <c r="N2" s="131"/>
      <c r="O2" s="131"/>
      <c r="P2" s="131"/>
      <c r="Q2" s="131"/>
      <c r="R2" s="131"/>
      <c r="S2" s="131"/>
      <c r="T2" s="131"/>
      <c r="U2" s="131"/>
      <c r="V2" s="131"/>
      <c r="W2" s="131"/>
      <c r="X2" s="131"/>
      <c r="Y2" s="131"/>
      <c r="Z2" s="131"/>
      <c r="AA2" s="131"/>
      <c r="AB2" s="131"/>
      <c r="AC2" s="131"/>
      <c r="AD2" s="131"/>
      <c r="AE2" s="131"/>
      <c r="AF2" s="131"/>
      <c r="AG2" s="131"/>
      <c r="AH2" s="131"/>
      <c r="AI2" s="131"/>
      <c r="AJ2" s="131"/>
      <c r="AK2" s="131"/>
      <c r="AL2" s="131"/>
      <c r="AM2" s="131"/>
      <c r="AN2" s="131"/>
      <c r="AO2" s="131"/>
      <c r="AP2" s="131"/>
      <c r="AQ2" s="131"/>
      <c r="AR2" s="131"/>
      <c r="AS2" s="131"/>
      <c r="AT2" s="131"/>
      <c r="AU2" s="131"/>
      <c r="AV2" s="131"/>
    </row>
    <row r="3" spans="1:49" x14ac:dyDescent="0.15">
      <c r="A3" s="21"/>
      <c r="B3" s="22"/>
      <c r="C3" s="23"/>
      <c r="E3" s="131"/>
      <c r="F3" s="131"/>
      <c r="G3" s="131"/>
      <c r="H3" s="131"/>
      <c r="I3" s="131"/>
      <c r="J3" s="131"/>
      <c r="K3" s="131"/>
      <c r="L3" s="131"/>
      <c r="M3" s="131"/>
      <c r="N3" s="131"/>
      <c r="O3" s="131"/>
      <c r="P3" s="131"/>
      <c r="Q3" s="131"/>
      <c r="R3" s="131"/>
      <c r="S3" s="131"/>
      <c r="T3" s="131"/>
      <c r="U3" s="131"/>
      <c r="V3" s="131"/>
      <c r="W3" s="131"/>
      <c r="X3" s="131"/>
      <c r="Y3" s="131"/>
      <c r="Z3" s="131"/>
      <c r="AA3" s="131"/>
      <c r="AB3" s="131"/>
      <c r="AC3" s="131"/>
      <c r="AD3" s="131"/>
      <c r="AE3" s="131"/>
      <c r="AF3" s="131"/>
      <c r="AG3" s="131"/>
      <c r="AH3" s="131"/>
      <c r="AI3" s="131"/>
      <c r="AJ3" s="131"/>
      <c r="AK3" s="131"/>
      <c r="AL3" s="131"/>
      <c r="AM3" s="131"/>
      <c r="AN3" s="131"/>
      <c r="AO3" s="131"/>
      <c r="AP3" s="131"/>
      <c r="AQ3" s="131"/>
      <c r="AR3" s="131"/>
      <c r="AS3" s="131"/>
      <c r="AT3" s="131"/>
      <c r="AU3" s="131"/>
      <c r="AV3" s="131"/>
    </row>
    <row r="4" spans="1:49" x14ac:dyDescent="0.15">
      <c r="A4" s="24"/>
      <c r="B4" s="25"/>
      <c r="C4" s="26"/>
      <c r="E4" s="131"/>
      <c r="F4" s="131"/>
      <c r="G4" s="131"/>
      <c r="H4" s="131"/>
      <c r="I4" s="131"/>
      <c r="J4" s="131"/>
      <c r="K4" s="131"/>
      <c r="L4" s="131"/>
      <c r="M4" s="131"/>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row>
    <row r="5" spans="1:49" x14ac:dyDescent="0.15">
      <c r="A5" s="24"/>
      <c r="B5" s="25"/>
      <c r="C5" s="26"/>
      <c r="E5" s="131"/>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c r="AE5" s="131"/>
      <c r="AF5" s="131"/>
      <c r="AG5" s="131"/>
      <c r="AH5" s="131"/>
      <c r="AI5" s="131"/>
      <c r="AJ5" s="131"/>
      <c r="AK5" s="131"/>
      <c r="AL5" s="131"/>
      <c r="AM5" s="131"/>
      <c r="AN5" s="131"/>
      <c r="AO5" s="131"/>
      <c r="AP5" s="131"/>
      <c r="AQ5" s="131"/>
      <c r="AR5" s="131"/>
      <c r="AS5" s="131"/>
      <c r="AT5" s="131"/>
      <c r="AU5" s="131"/>
      <c r="AV5" s="131"/>
    </row>
    <row r="6" spans="1:49" x14ac:dyDescent="0.15">
      <c r="A6" s="24"/>
      <c r="B6" s="25"/>
      <c r="C6" s="26"/>
      <c r="E6" s="131"/>
      <c r="F6" s="131"/>
      <c r="G6" s="131"/>
      <c r="H6" s="131"/>
      <c r="I6" s="131"/>
      <c r="J6" s="131"/>
      <c r="K6" s="131"/>
      <c r="L6" s="131"/>
      <c r="M6" s="131"/>
      <c r="N6" s="131"/>
      <c r="O6" s="131"/>
      <c r="P6" s="131"/>
      <c r="Q6" s="131"/>
      <c r="R6" s="131"/>
      <c r="S6" s="131"/>
      <c r="T6" s="131"/>
      <c r="U6" s="131"/>
      <c r="V6" s="131"/>
      <c r="W6" s="131"/>
      <c r="X6" s="131"/>
      <c r="Y6" s="131"/>
      <c r="Z6" s="131"/>
      <c r="AA6" s="131"/>
      <c r="AB6" s="131"/>
      <c r="AC6" s="131"/>
      <c r="AD6" s="131"/>
      <c r="AE6" s="131"/>
      <c r="AF6" s="131"/>
      <c r="AG6" s="131"/>
      <c r="AH6" s="131"/>
      <c r="AI6" s="131"/>
      <c r="AJ6" s="131"/>
      <c r="AK6" s="131"/>
      <c r="AL6" s="131"/>
      <c r="AM6" s="131"/>
      <c r="AN6" s="131"/>
      <c r="AO6" s="131"/>
      <c r="AP6" s="131"/>
      <c r="AQ6" s="131"/>
      <c r="AR6" s="131"/>
      <c r="AS6" s="131"/>
      <c r="AT6" s="131"/>
      <c r="AU6" s="131"/>
      <c r="AV6" s="131"/>
    </row>
    <row r="7" spans="1:49" ht="16" x14ac:dyDescent="0.2">
      <c r="A7" s="27"/>
      <c r="B7" s="28"/>
      <c r="C7" s="29"/>
      <c r="E7" s="132" t="str">
        <f>+'DATOS INICIALES'!C2</f>
        <v>CONCURSO DE MÉRITOS ABIERTO No. VJ-VEJ-CM-002-2026</v>
      </c>
      <c r="F7" s="132"/>
      <c r="G7" s="132"/>
      <c r="H7" s="132"/>
      <c r="I7" s="132"/>
      <c r="J7" s="132"/>
      <c r="K7" s="132"/>
      <c r="L7" s="132"/>
      <c r="M7" s="132"/>
      <c r="N7" s="132"/>
      <c r="O7" s="132"/>
      <c r="P7" s="132"/>
      <c r="Q7" s="132"/>
      <c r="R7" s="132"/>
      <c r="S7" s="132"/>
      <c r="T7" s="132"/>
      <c r="U7" s="132"/>
      <c r="V7" s="132"/>
      <c r="W7" s="132"/>
      <c r="X7" s="132"/>
      <c r="Y7" s="132"/>
      <c r="Z7" s="132"/>
      <c r="AA7" s="132"/>
      <c r="AB7" s="132"/>
      <c r="AC7" s="132"/>
      <c r="AD7" s="132"/>
      <c r="AE7" s="132"/>
      <c r="AF7" s="132"/>
      <c r="AG7" s="132"/>
      <c r="AH7" s="132"/>
      <c r="AI7" s="132"/>
      <c r="AJ7" s="132"/>
      <c r="AK7" s="132"/>
      <c r="AL7" s="132"/>
      <c r="AM7" s="132"/>
      <c r="AN7" s="132"/>
      <c r="AO7" s="132"/>
      <c r="AP7" s="132"/>
      <c r="AQ7" s="132"/>
      <c r="AR7" s="132"/>
      <c r="AS7" s="132"/>
      <c r="AT7" s="132"/>
      <c r="AU7" s="132"/>
      <c r="AV7" s="132"/>
    </row>
    <row r="8" spans="1:49" ht="33.75" customHeight="1" x14ac:dyDescent="0.2">
      <c r="E8" s="132" t="str">
        <f>+'DATOS INICIALES'!F2</f>
        <v>“INTERVENTORÍA INTEGRAL QUE INCLUYE, PERO NO SE LIMITA A: LA INTERVENTORÍA TÉCNICA, ECONÓMICA, FINANCIERA, CONTABLE, JURÍDICA, SOCIAL, PREDIAL, AMBIENTAL, DE REDES, ADMINISTRATIVA, DE SEGUROS, RIESGOS, OPERATIVA, MANTENIMIENTO, ADMINISTRATIVA DE AFORO Y RECAUDO, DE GESTIÓN DE CALIDAD, GESTIÓN DE ARCHIVO DOCUMENTAL Y GESTIÓN DE SEGUIMIENTO DEL CONTRATO DE CONCESIÓN BAJO UN ESQUEMA DE ASOCIACIÓN PÚBLICO PRIVADA QUE SE DERIVE DEL PROCESO LICITATORIO No. VJ-VE-APP-IPB-001-2024 CUYO OBJETO CORRESPONDE A LA FINANCIACIÓN, ELABORACIÓN DE ESTUDIOS Y DISEÑOS DEFINITIVOS, GESTIÓN AMBIENTAL, GESTIÓN PREDIAL, GESTIÓN SOCIAL, CONSTRUCCIÓN, REHABILITACIÓN, MEJORAMIENTO, OPERACIÓN Y MANTENIMIENTO DEL CORREDOR “EL ESTANQUILLO - POPAYÁN”, DE ACUERDO CON EL ALCANCE DESCRITO EN LA PARTE ESPECIAL, EL APÉNDICE TÉCNICO 1 Y DEMÁS APÉNDICES DEL CONTRATO”</v>
      </c>
      <c r="F8" s="132"/>
      <c r="G8" s="132"/>
      <c r="H8" s="132"/>
      <c r="I8" s="132"/>
      <c r="J8" s="132"/>
      <c r="K8" s="132"/>
      <c r="L8" s="132"/>
      <c r="M8" s="132"/>
      <c r="N8" s="132"/>
      <c r="O8" s="132"/>
      <c r="P8" s="132"/>
      <c r="Q8" s="132"/>
      <c r="R8" s="132"/>
      <c r="S8" s="132"/>
      <c r="T8" s="132"/>
      <c r="U8" s="132"/>
      <c r="V8" s="132"/>
      <c r="W8" s="132"/>
      <c r="X8" s="132"/>
      <c r="Y8" s="132"/>
      <c r="Z8" s="132"/>
      <c r="AA8" s="132"/>
      <c r="AB8" s="132"/>
      <c r="AC8" s="132"/>
      <c r="AD8" s="132"/>
      <c r="AE8" s="132"/>
      <c r="AF8" s="132"/>
      <c r="AG8" s="132"/>
      <c r="AH8" s="132"/>
      <c r="AI8" s="132"/>
      <c r="AJ8" s="132"/>
      <c r="AK8" s="132"/>
      <c r="AL8" s="132"/>
      <c r="AM8" s="132"/>
      <c r="AN8" s="132"/>
      <c r="AO8" s="132"/>
      <c r="AP8" s="132"/>
      <c r="AQ8" s="132"/>
      <c r="AR8" s="132"/>
      <c r="AS8" s="132"/>
      <c r="AT8" s="132"/>
      <c r="AU8" s="132"/>
      <c r="AV8" s="132"/>
    </row>
    <row r="9" spans="1:49" ht="35.25" customHeight="1" x14ac:dyDescent="0.15"/>
    <row r="10" spans="1:49" ht="3" customHeight="1" x14ac:dyDescent="0.15">
      <c r="D10" s="2"/>
      <c r="E10" s="2"/>
      <c r="F10" s="3"/>
      <c r="G10" s="3"/>
      <c r="H10" s="3"/>
      <c r="I10" s="3"/>
      <c r="J10" s="3"/>
      <c r="K10" s="3"/>
      <c r="L10" s="3"/>
      <c r="M10" s="3"/>
      <c r="N10" s="3"/>
      <c r="O10" s="3"/>
    </row>
    <row r="11" spans="1:49" ht="21" customHeight="1" x14ac:dyDescent="0.15">
      <c r="D11" s="133" t="s">
        <v>8</v>
      </c>
      <c r="E11" s="133"/>
      <c r="F11" s="133"/>
      <c r="G11" s="133"/>
      <c r="H11" s="133"/>
      <c r="I11" s="136"/>
      <c r="J11" s="136"/>
      <c r="K11" s="136"/>
      <c r="L11" s="136"/>
      <c r="M11" s="136"/>
      <c r="N11" s="137"/>
      <c r="O11" s="119" t="s">
        <v>54</v>
      </c>
      <c r="P11" s="134" t="s">
        <v>9</v>
      </c>
      <c r="Q11" s="134"/>
      <c r="R11" s="134"/>
      <c r="S11" s="134"/>
      <c r="T11" s="134"/>
      <c r="U11" s="135" t="s">
        <v>10</v>
      </c>
      <c r="V11" s="135"/>
      <c r="W11" s="135"/>
      <c r="X11" s="135"/>
      <c r="Y11" s="135"/>
      <c r="Z11" s="135"/>
      <c r="AA11" s="135"/>
      <c r="AB11" s="124" t="s">
        <v>11</v>
      </c>
      <c r="AC11" s="124"/>
      <c r="AD11" s="124"/>
      <c r="AE11" s="124"/>
      <c r="AF11" s="124"/>
      <c r="AG11" s="124"/>
      <c r="AH11" s="124"/>
      <c r="AI11" s="124"/>
      <c r="AJ11" s="124"/>
      <c r="AK11" s="124"/>
      <c r="AL11" s="124"/>
      <c r="AM11" s="124"/>
      <c r="AN11" s="124"/>
      <c r="AO11" s="125" t="s">
        <v>12</v>
      </c>
      <c r="AP11" s="125"/>
      <c r="AQ11" s="125"/>
      <c r="AR11" s="125"/>
      <c r="AS11" s="125"/>
      <c r="AT11" s="128" t="s">
        <v>56</v>
      </c>
      <c r="AU11" s="122" t="s">
        <v>13</v>
      </c>
      <c r="AV11" s="122" t="s">
        <v>59</v>
      </c>
      <c r="AW11" s="122" t="s">
        <v>60</v>
      </c>
    </row>
    <row r="12" spans="1:49" ht="25" customHeight="1" x14ac:dyDescent="0.15">
      <c r="D12" s="116" t="s">
        <v>15</v>
      </c>
      <c r="E12" s="111" t="s">
        <v>16</v>
      </c>
      <c r="F12" s="111" t="s">
        <v>17</v>
      </c>
      <c r="G12" s="111" t="s">
        <v>18</v>
      </c>
      <c r="H12" s="111" t="s">
        <v>19</v>
      </c>
      <c r="I12" s="112" t="s">
        <v>51</v>
      </c>
      <c r="J12" s="115" t="s">
        <v>21</v>
      </c>
      <c r="K12" s="112" t="s">
        <v>52</v>
      </c>
      <c r="L12" s="115" t="s">
        <v>21</v>
      </c>
      <c r="M12" s="112" t="s">
        <v>53</v>
      </c>
      <c r="N12" s="115" t="s">
        <v>21</v>
      </c>
      <c r="O12" s="120"/>
      <c r="P12" s="111" t="s">
        <v>20</v>
      </c>
      <c r="Q12" s="111"/>
      <c r="R12" s="111"/>
      <c r="S12" s="111"/>
      <c r="T12" s="111" t="s">
        <v>21</v>
      </c>
      <c r="U12" s="118" t="s">
        <v>22</v>
      </c>
      <c r="V12" s="118" t="s">
        <v>23</v>
      </c>
      <c r="W12" s="118" t="s">
        <v>24</v>
      </c>
      <c r="X12" s="118" t="s">
        <v>25</v>
      </c>
      <c r="Y12" s="118" t="s">
        <v>26</v>
      </c>
      <c r="Z12" s="118" t="s">
        <v>27</v>
      </c>
      <c r="AA12" s="118" t="s">
        <v>28</v>
      </c>
      <c r="AB12" s="138" t="s">
        <v>29</v>
      </c>
      <c r="AC12" s="138"/>
      <c r="AD12" s="138"/>
      <c r="AE12" s="138" t="s">
        <v>61</v>
      </c>
      <c r="AF12" s="138"/>
      <c r="AG12" s="138"/>
      <c r="AH12" s="123" t="s">
        <v>30</v>
      </c>
      <c r="AI12" s="123"/>
      <c r="AJ12" s="123" t="s">
        <v>31</v>
      </c>
      <c r="AK12" s="123"/>
      <c r="AL12" s="123" t="s">
        <v>32</v>
      </c>
      <c r="AM12" s="123"/>
      <c r="AN12" s="139" t="s">
        <v>21</v>
      </c>
      <c r="AO12" s="126" t="s">
        <v>33</v>
      </c>
      <c r="AP12" s="126"/>
      <c r="AQ12" s="126" t="s">
        <v>34</v>
      </c>
      <c r="AR12" s="126"/>
      <c r="AS12" s="127" t="s">
        <v>21</v>
      </c>
      <c r="AT12" s="129"/>
      <c r="AU12" s="122"/>
      <c r="AV12" s="122"/>
      <c r="AW12" s="122"/>
    </row>
    <row r="13" spans="1:49" ht="30" customHeight="1" x14ac:dyDescent="0.2">
      <c r="D13" s="116"/>
      <c r="E13" s="111"/>
      <c r="F13" s="111"/>
      <c r="G13" s="111"/>
      <c r="H13" s="111"/>
      <c r="I13" s="113"/>
      <c r="J13" s="115"/>
      <c r="K13" s="113"/>
      <c r="L13" s="115"/>
      <c r="M13" s="113"/>
      <c r="N13" s="115"/>
      <c r="O13" s="120"/>
      <c r="P13" s="110" t="s">
        <v>35</v>
      </c>
      <c r="Q13" s="110" t="s">
        <v>36</v>
      </c>
      <c r="R13" s="110" t="s">
        <v>37</v>
      </c>
      <c r="S13" s="110" t="s">
        <v>38</v>
      </c>
      <c r="T13" s="111"/>
      <c r="U13" s="118"/>
      <c r="V13" s="118"/>
      <c r="W13" s="118"/>
      <c r="X13" s="118"/>
      <c r="Y13" s="118"/>
      <c r="Z13" s="118"/>
      <c r="AA13" s="118"/>
      <c r="AB13" s="13" t="s">
        <v>39</v>
      </c>
      <c r="AC13" s="14"/>
      <c r="AD13" s="86">
        <v>5743000000</v>
      </c>
      <c r="AE13" s="13" t="s">
        <v>39</v>
      </c>
      <c r="AF13" s="14">
        <v>0.5</v>
      </c>
      <c r="AG13" s="50">
        <f>+AF13*AD13</f>
        <v>2871500000</v>
      </c>
      <c r="AH13" s="12" t="s">
        <v>40</v>
      </c>
      <c r="AI13" s="15">
        <v>1.5</v>
      </c>
      <c r="AJ13" s="12" t="s">
        <v>41</v>
      </c>
      <c r="AK13" s="87">
        <v>0.65200000000000002</v>
      </c>
      <c r="AL13" s="12" t="s">
        <v>40</v>
      </c>
      <c r="AM13" s="15">
        <v>0</v>
      </c>
      <c r="AN13" s="139"/>
      <c r="AO13" s="92" t="s">
        <v>40</v>
      </c>
      <c r="AP13" s="91">
        <v>2.7E-2</v>
      </c>
      <c r="AQ13" s="92" t="s">
        <v>40</v>
      </c>
      <c r="AR13" s="91">
        <v>1.2E-2</v>
      </c>
      <c r="AS13" s="127"/>
      <c r="AT13" s="129"/>
      <c r="AU13" s="122"/>
      <c r="AV13" s="122"/>
      <c r="AW13" s="122"/>
    </row>
    <row r="14" spans="1:49" ht="21.5" customHeight="1" x14ac:dyDescent="0.15">
      <c r="D14" s="116"/>
      <c r="E14" s="111"/>
      <c r="F14" s="111"/>
      <c r="G14" s="111"/>
      <c r="H14" s="111"/>
      <c r="I14" s="114"/>
      <c r="J14" s="115"/>
      <c r="K14" s="114"/>
      <c r="L14" s="115"/>
      <c r="M14" s="114"/>
      <c r="N14" s="115"/>
      <c r="O14" s="121"/>
      <c r="P14" s="110"/>
      <c r="Q14" s="110"/>
      <c r="R14" s="110"/>
      <c r="S14" s="110"/>
      <c r="T14" s="111"/>
      <c r="U14" s="118"/>
      <c r="V14" s="118"/>
      <c r="W14" s="118"/>
      <c r="X14" s="118"/>
      <c r="Y14" s="118"/>
      <c r="Z14" s="118"/>
      <c r="AA14" s="118"/>
      <c r="AB14" s="117" t="s">
        <v>42</v>
      </c>
      <c r="AC14" s="117"/>
      <c r="AD14" s="49" t="s">
        <v>43</v>
      </c>
      <c r="AE14" s="117" t="s">
        <v>42</v>
      </c>
      <c r="AF14" s="117"/>
      <c r="AG14" s="49" t="s">
        <v>43</v>
      </c>
      <c r="AH14" s="49" t="s">
        <v>44</v>
      </c>
      <c r="AI14" s="49" t="s">
        <v>43</v>
      </c>
      <c r="AJ14" s="49" t="s">
        <v>44</v>
      </c>
      <c r="AK14" s="49" t="s">
        <v>43</v>
      </c>
      <c r="AL14" s="49" t="s">
        <v>44</v>
      </c>
      <c r="AM14" s="49" t="s">
        <v>43</v>
      </c>
      <c r="AN14" s="139"/>
      <c r="AO14" s="95" t="s">
        <v>44</v>
      </c>
      <c r="AP14" s="95" t="s">
        <v>43</v>
      </c>
      <c r="AQ14" s="95" t="s">
        <v>44</v>
      </c>
      <c r="AR14" s="95" t="s">
        <v>43</v>
      </c>
      <c r="AS14" s="127"/>
      <c r="AT14" s="130"/>
      <c r="AU14" s="122"/>
      <c r="AV14" s="122"/>
      <c r="AW14" s="122"/>
    </row>
    <row r="16" spans="1:49" s="5" customFormat="1" ht="15" x14ac:dyDescent="0.2">
      <c r="A16" s="4"/>
      <c r="B16" s="4"/>
      <c r="C16" s="4"/>
      <c r="D16" s="62">
        <v>1</v>
      </c>
      <c r="E16" s="63" t="str">
        <f>IF(D16="","",VLOOKUP(D16,'DATOS INICIALES'!$B$10:$D$69,2,0))</f>
        <v>CONSORCIO VIAS DEL CAUCA CT</v>
      </c>
      <c r="F16" s="64">
        <f>IF(D16="","",VLOOKUP(D16,'DATOS INICIALES'!$B$10:$D$69,3,0))</f>
        <v>0</v>
      </c>
      <c r="G16" s="65">
        <f>SUM(G17:G19)</f>
        <v>1</v>
      </c>
      <c r="H16" s="64"/>
      <c r="I16" s="30" t="s">
        <v>55</v>
      </c>
      <c r="J16" s="30" t="str">
        <f>IF(I16="SI","CUMPLE", "NO CUMPLE")</f>
        <v>CUMPLE</v>
      </c>
      <c r="K16" s="30" t="s">
        <v>55</v>
      </c>
      <c r="L16" s="30" t="str">
        <f>IF(K16="SI","CUMPLE", "NO CUMPLE")</f>
        <v>CUMPLE</v>
      </c>
      <c r="M16" s="51">
        <f>+IFERROR(VLOOKUP(D16,'DATOS INICIALES'!$B$10:$G$100,6,0),0)</f>
        <v>69477143896</v>
      </c>
      <c r="N16" s="30" t="str">
        <f>IF(M16&lt;='DATOS INICIALES'!$C$6,"CUMPLE","NO CUMPLE")</f>
        <v>CUMPLE</v>
      </c>
      <c r="O16" s="30" t="str">
        <f>IF(AND(J16="CUMPLE",L16="CUMPLE",N16="CUMPLE"),"CUMPLE","NO CUMPLE")</f>
        <v>CUMPLE</v>
      </c>
      <c r="P16" s="31"/>
      <c r="Q16" s="31"/>
      <c r="R16" s="32" t="str">
        <f>IF(AND(R17="CUMPLE",R18="CUMPLE",R19="CUMPLE"),"CUMPLE","NO CUMPLE")</f>
        <v>CUMPLE</v>
      </c>
      <c r="S16" s="32" t="str">
        <f>IF(AND(S17="CUMPLE",S18="CUMPLE",S19="CUMPLE"),"CUMPLE","NO CUMPLE")</f>
        <v>CUMPLE</v>
      </c>
      <c r="T16" s="32" t="str">
        <f t="shared" ref="T16:T79" si="0">IF(AND(R16="CUMPLE",S16="CUMPLE"),"CUMPLE","NO CUMPLE")</f>
        <v>CUMPLE</v>
      </c>
      <c r="U16" s="33">
        <f t="shared" ref="U16:AB16" si="1">+(U17*$G17)+(U18*$G18)+(U19*$G19)</f>
        <v>70828239448.046005</v>
      </c>
      <c r="V16" s="33">
        <f t="shared" si="1"/>
        <v>86433549872.161987</v>
      </c>
      <c r="W16" s="33">
        <f t="shared" si="1"/>
        <v>44271691625.292007</v>
      </c>
      <c r="X16" s="33">
        <f t="shared" si="1"/>
        <v>49005357311.515999</v>
      </c>
      <c r="Y16" s="33">
        <f t="shared" si="1"/>
        <v>37428192560.646004</v>
      </c>
      <c r="Z16" s="33">
        <f t="shared" si="1"/>
        <v>4251334723.29</v>
      </c>
      <c r="AA16" s="33">
        <f t="shared" si="1"/>
        <v>1377882.9</v>
      </c>
      <c r="AB16" s="34">
        <f t="shared" si="1"/>
        <v>26556547822.753994</v>
      </c>
      <c r="AC16" s="34"/>
      <c r="AD16" s="32" t="str">
        <f>IF(AB16&gt;=$AD$13,"CUMPLE","NO CUMPLE")</f>
        <v>CUMPLE</v>
      </c>
      <c r="AE16" s="75">
        <f>+MAX(AE17:AE19)</f>
        <v>80389964297.179993</v>
      </c>
      <c r="AF16" s="32"/>
      <c r="AG16" s="32" t="str">
        <f>+IF(AE16&gt;=$AG$13,"CUMPLE","NO CUMPLE")</f>
        <v>CUMPLE</v>
      </c>
      <c r="AH16" s="32">
        <f>IF(E16="","",(IF(W16=0,"INDETERMINADO",+U16/W16)))</f>
        <v>1.5998539212714991</v>
      </c>
      <c r="AI16" s="32" t="str">
        <f>IF(OR(AH16="",AH16&lt;$AI$13),"NO CUMPLE","CUMPLE")</f>
        <v>CUMPLE</v>
      </c>
      <c r="AJ16" s="32">
        <f>IF(U17="","",+X16/V16)</f>
        <v>0.56697147559016736</v>
      </c>
      <c r="AK16" s="32" t="str">
        <f>IF(OR(AJ16="",AJ16&gt;$AK$13),"NO CUMPLE","CUMPLE")</f>
        <v>CUMPLE</v>
      </c>
      <c r="AL16" s="32">
        <f>IF(AA16=0,"INDET",(IF(U17="","",Z16/AA16)))</f>
        <v>3085.4107582654524</v>
      </c>
      <c r="AM16" s="32" t="str">
        <f>IF(OR(AL16="",AL16&lt;$AM$13),"NO CUMPLE","CUMPLE")</f>
        <v>CUMPLE</v>
      </c>
      <c r="AN16" s="32" t="str">
        <f>IF(AND(AG16="CUMPLE",AI16="CUMPLE",AK16="CUMPLE",AM16="CUMPLE",AD16="CUMPLE"),"CUMPLE","NO CUMPLE")</f>
        <v>CUMPLE</v>
      </c>
      <c r="AO16" s="35">
        <f>IF(U17="","",+Z16/Y16)</f>
        <v>0.1135864286366871</v>
      </c>
      <c r="AP16" s="36" t="str">
        <f>IF(OR(AO16="",AO16&lt;$AP$13),"NO CUMPLE","CUMPLE")</f>
        <v>CUMPLE</v>
      </c>
      <c r="AQ16" s="35">
        <f>IF(U17="","",+Z16/V16)</f>
        <v>4.9186163585527395E-2</v>
      </c>
      <c r="AR16" s="36" t="str">
        <f>IF(OR(AQ16="",AQ16&lt;$AR$13),"NO CUMPLE","CUMPLE")</f>
        <v>CUMPLE</v>
      </c>
      <c r="AS16" s="36" t="str">
        <f>IF(U17="","",IF(AND(AP16="CUMPLE",AR16="CUMPLE"),"CUMPLE","NO CUMPLE"))</f>
        <v>CUMPLE</v>
      </c>
      <c r="AT16" s="36" t="s">
        <v>58</v>
      </c>
      <c r="AU16" s="32" t="str">
        <f>IF(U17="","",IF(AND(O16="CUMPLE",AS16="CUMPLE",AN16="CUMPLE",T16="CUMPLE",AT16="CUMPLE"),"CUMPLE","NO CUMPLE"))</f>
        <v>CUMPLE</v>
      </c>
      <c r="AV16" s="37"/>
      <c r="AW16" s="37"/>
    </row>
    <row r="17" spans="1:49" s="5" customFormat="1" ht="13" x14ac:dyDescent="0.2">
      <c r="D17" s="38">
        <f>+D16+0.1</f>
        <v>1.1000000000000001</v>
      </c>
      <c r="E17" s="39" t="s">
        <v>65</v>
      </c>
      <c r="F17" s="97" t="s">
        <v>66</v>
      </c>
      <c r="G17" s="41">
        <v>0.3</v>
      </c>
      <c r="H17" s="42"/>
      <c r="I17" s="42"/>
      <c r="J17" s="42"/>
      <c r="K17" s="42"/>
      <c r="L17" s="42"/>
      <c r="M17" s="66"/>
      <c r="N17" s="42"/>
      <c r="O17" s="42"/>
      <c r="P17" s="43">
        <v>46104</v>
      </c>
      <c r="Q17" s="43">
        <v>45772</v>
      </c>
      <c r="R17" s="38" t="str">
        <f>IF((NETWORKDAYS(Q17,P17)-1)&gt;=10,"CUMPLE","NO CUMPLE")</f>
        <v>CUMPLE</v>
      </c>
      <c r="S17" s="38" t="str">
        <f>IF(('DATOS INICIALES'!$C$4-P17)&lt;30,"CUMPLE","NO CUMPLE")</f>
        <v>CUMPLE</v>
      </c>
      <c r="T17" s="38" t="str">
        <f t="shared" si="0"/>
        <v>CUMPLE</v>
      </c>
      <c r="U17" s="98">
        <v>224234236811.82001</v>
      </c>
      <c r="V17" s="98">
        <v>275891506604.53998</v>
      </c>
      <c r="W17" s="98">
        <v>143844272514.64001</v>
      </c>
      <c r="X17" s="98">
        <v>158434878705.72</v>
      </c>
      <c r="Y17" s="98">
        <v>117456627898.82001</v>
      </c>
      <c r="Z17" s="98">
        <v>11631582528.299999</v>
      </c>
      <c r="AA17" s="47">
        <v>0</v>
      </c>
      <c r="AB17" s="44">
        <f>+U17-W17</f>
        <v>80389964297.179993</v>
      </c>
      <c r="AC17" s="48"/>
      <c r="AD17" s="47"/>
      <c r="AE17" s="67">
        <f>+U17-W17</f>
        <v>80389964297.179993</v>
      </c>
      <c r="AF17" s="47"/>
      <c r="AG17" s="68"/>
      <c r="AH17" s="45"/>
      <c r="AI17" s="45"/>
      <c r="AJ17" s="45"/>
      <c r="AK17" s="45"/>
      <c r="AL17" s="45"/>
      <c r="AM17" s="45"/>
      <c r="AN17" s="46"/>
      <c r="AO17" s="47"/>
      <c r="AP17" s="47"/>
      <c r="AQ17" s="47"/>
      <c r="AR17" s="47"/>
      <c r="AS17" s="46"/>
      <c r="AT17" s="46"/>
      <c r="AU17" s="46"/>
      <c r="AV17" s="47"/>
      <c r="AW17" s="47"/>
    </row>
    <row r="18" spans="1:49" s="5" customFormat="1" ht="13" x14ac:dyDescent="0.2">
      <c r="D18" s="38">
        <f>+D17+0.1</f>
        <v>1.2000000000000002</v>
      </c>
      <c r="E18" s="39" t="s">
        <v>67</v>
      </c>
      <c r="F18" s="97" t="s">
        <v>68</v>
      </c>
      <c r="G18" s="41">
        <v>0.3</v>
      </c>
      <c r="H18" s="42"/>
      <c r="I18" s="42"/>
      <c r="J18" s="42"/>
      <c r="K18" s="42"/>
      <c r="L18" s="42"/>
      <c r="M18" s="66"/>
      <c r="N18" s="42"/>
      <c r="O18" s="42"/>
      <c r="P18" s="43">
        <v>46076</v>
      </c>
      <c r="Q18" s="43">
        <v>45771</v>
      </c>
      <c r="R18" s="38" t="str">
        <f>IF((NETWORKDAYS(Q18,P18)-1)&gt;=10,"CUMPLE","NO CUMPLE")</f>
        <v>CUMPLE</v>
      </c>
      <c r="S18" s="38" t="str">
        <f>IF(('DATOS INICIALES'!$C$4-P18)&lt;30,"CUMPLE","NO CUMPLE")</f>
        <v>CUMPLE</v>
      </c>
      <c r="T18" s="38" t="str">
        <f t="shared" si="0"/>
        <v>CUMPLE</v>
      </c>
      <c r="U18" s="98">
        <v>10426181623</v>
      </c>
      <c r="V18" s="98">
        <v>10786613244</v>
      </c>
      <c r="W18" s="98">
        <v>3125661023</v>
      </c>
      <c r="X18" s="98">
        <v>4311913786</v>
      </c>
      <c r="Y18" s="98">
        <v>6474699458</v>
      </c>
      <c r="Z18" s="98">
        <v>2303862516</v>
      </c>
      <c r="AA18" s="98">
        <v>4592943</v>
      </c>
      <c r="AB18" s="44">
        <f>+U18-W18</f>
        <v>7300520600</v>
      </c>
      <c r="AC18" s="48"/>
      <c r="AD18" s="47"/>
      <c r="AE18" s="67">
        <f>+U18-W18</f>
        <v>7300520600</v>
      </c>
      <c r="AF18" s="47"/>
      <c r="AG18" s="68"/>
      <c r="AH18" s="45"/>
      <c r="AI18" s="45"/>
      <c r="AJ18" s="45"/>
      <c r="AK18" s="45"/>
      <c r="AL18" s="45"/>
      <c r="AM18" s="45"/>
      <c r="AN18" s="46"/>
      <c r="AO18" s="47"/>
      <c r="AP18" s="47"/>
      <c r="AQ18" s="47"/>
      <c r="AR18" s="47"/>
      <c r="AS18" s="46"/>
      <c r="AT18" s="46"/>
      <c r="AU18" s="46"/>
      <c r="AV18" s="47"/>
      <c r="AW18" s="47"/>
    </row>
    <row r="19" spans="1:49" s="4" customFormat="1" x14ac:dyDescent="0.2">
      <c r="A19" s="5"/>
      <c r="B19" s="5"/>
      <c r="C19" s="5"/>
      <c r="D19" s="38">
        <f>+D18+0.1</f>
        <v>1.3000000000000003</v>
      </c>
      <c r="E19" s="39" t="s">
        <v>69</v>
      </c>
      <c r="F19" s="97" t="s">
        <v>70</v>
      </c>
      <c r="G19" s="41">
        <v>0.4</v>
      </c>
      <c r="H19" s="42"/>
      <c r="I19" s="42"/>
      <c r="J19" s="42"/>
      <c r="K19" s="42"/>
      <c r="L19" s="42"/>
      <c r="M19" s="66"/>
      <c r="N19" s="42"/>
      <c r="O19" s="42"/>
      <c r="P19" s="43">
        <v>46070</v>
      </c>
      <c r="Q19" s="43">
        <v>45761</v>
      </c>
      <c r="R19" s="38" t="str">
        <f>IF((NETWORKDAYS(Q19,P19)-1)&gt;=10,"CUMPLE","NO CUMPLE")</f>
        <v>CUMPLE</v>
      </c>
      <c r="S19" s="38" t="str">
        <f>IF(('DATOS INICIALES'!$C$4-P19)&lt;30,"CUMPLE","NO CUMPLE")</f>
        <v>CUMPLE</v>
      </c>
      <c r="T19" s="38" t="str">
        <f t="shared" si="0"/>
        <v>CUMPLE</v>
      </c>
      <c r="U19" s="98">
        <v>1075284794</v>
      </c>
      <c r="V19" s="98">
        <v>1075284794</v>
      </c>
      <c r="W19" s="98">
        <v>451778910</v>
      </c>
      <c r="X19" s="98">
        <v>453298910</v>
      </c>
      <c r="Y19" s="98">
        <v>621985884</v>
      </c>
      <c r="Z19" s="98">
        <v>176753025</v>
      </c>
      <c r="AA19" s="47">
        <v>0</v>
      </c>
      <c r="AB19" s="44">
        <f>+U19-W19</f>
        <v>623505884</v>
      </c>
      <c r="AC19" s="48"/>
      <c r="AD19" s="47"/>
      <c r="AE19" s="67">
        <f>+U19-W19</f>
        <v>623505884</v>
      </c>
      <c r="AF19" s="47"/>
      <c r="AG19" s="68"/>
      <c r="AH19" s="45"/>
      <c r="AI19" s="45"/>
      <c r="AJ19" s="45"/>
      <c r="AK19" s="45"/>
      <c r="AL19" s="45"/>
      <c r="AM19" s="45"/>
      <c r="AN19" s="46"/>
      <c r="AO19" s="47"/>
      <c r="AP19" s="47"/>
      <c r="AQ19" s="47"/>
      <c r="AR19" s="47"/>
      <c r="AS19" s="46"/>
      <c r="AT19" s="46"/>
      <c r="AU19" s="46"/>
      <c r="AV19" s="47"/>
      <c r="AW19" s="47"/>
    </row>
    <row r="20" spans="1:49" s="5" customFormat="1" ht="15" x14ac:dyDescent="0.2">
      <c r="A20" s="4"/>
      <c r="B20" s="4"/>
      <c r="C20" s="4"/>
      <c r="D20" s="62">
        <v>2</v>
      </c>
      <c r="E20" s="63" t="str">
        <f>IF(D20="","",VLOOKUP(D20,'DATOS INICIALES'!$B$10:$D$69,2,0))</f>
        <v>CONSORCIO INTER CONCESIÓN POPAYAN</v>
      </c>
      <c r="F20" s="64">
        <f>IF(D20="","",VLOOKUP(D20,'DATOS INICIALES'!$B$10:$D$69,3,0))</f>
        <v>0</v>
      </c>
      <c r="G20" s="65">
        <f>SUM(G21:G23)</f>
        <v>1</v>
      </c>
      <c r="H20" s="64"/>
      <c r="I20" s="30" t="s">
        <v>55</v>
      </c>
      <c r="J20" s="30" t="str">
        <f>IF(I20="SI","CUMPLE", "NO CUMPLE")</f>
        <v>CUMPLE</v>
      </c>
      <c r="K20" s="30" t="s">
        <v>55</v>
      </c>
      <c r="L20" s="30" t="str">
        <f>IF(K20="SI","CUMPLE", "NO CUMPLE")</f>
        <v>CUMPLE</v>
      </c>
      <c r="M20" s="51">
        <f>+IFERROR(VLOOKUP(D20,'DATOS INICIALES'!$B$10:$G$100,6,0),0)</f>
        <v>69477143896</v>
      </c>
      <c r="N20" s="30" t="str">
        <f>IF(M20&lt;='DATOS INICIALES'!$C$6,"CUMPLE","NO CUMPLE")</f>
        <v>CUMPLE</v>
      </c>
      <c r="O20" s="30" t="str">
        <f>IF(AND(J20="CUMPLE",L20="CUMPLE",N20="CUMPLE"),"CUMPLE","NO CUMPLE")</f>
        <v>CUMPLE</v>
      </c>
      <c r="P20" s="31"/>
      <c r="Q20" s="31"/>
      <c r="R20" s="32" t="str">
        <f>IF(AND(R21="CUMPLE",R22="CUMPLE",R23="CUMPLE"),"CUMPLE","NO CUMPLE")</f>
        <v>CUMPLE</v>
      </c>
      <c r="S20" s="32" t="str">
        <f>IF(AND(S21="CUMPLE",S22="CUMPLE",S23="CUMPLE"),"CUMPLE","NO CUMPLE")</f>
        <v>CUMPLE</v>
      </c>
      <c r="T20" s="32" t="str">
        <f t="shared" si="0"/>
        <v>CUMPLE</v>
      </c>
      <c r="U20" s="33">
        <f t="shared" ref="U20:AB20" si="2">+(U21*$G21)+(U22*$G22)+(U23*$G23)</f>
        <v>37603830331.5</v>
      </c>
      <c r="V20" s="33">
        <f t="shared" si="2"/>
        <v>48612479039.699997</v>
      </c>
      <c r="W20" s="33">
        <f t="shared" si="2"/>
        <v>24506161921.200001</v>
      </c>
      <c r="X20" s="33">
        <f t="shared" si="2"/>
        <v>28043157342.800003</v>
      </c>
      <c r="Y20" s="33">
        <f t="shared" si="2"/>
        <v>20569321696.900002</v>
      </c>
      <c r="Z20" s="33">
        <f t="shared" si="2"/>
        <v>6387015092.1000004</v>
      </c>
      <c r="AA20" s="33">
        <f t="shared" si="2"/>
        <v>417990817.19999999</v>
      </c>
      <c r="AB20" s="34">
        <f t="shared" si="2"/>
        <v>13097668410.299999</v>
      </c>
      <c r="AC20" s="34"/>
      <c r="AD20" s="32" t="str">
        <f>IF(AB20&gt;=$AD$13,"CUMPLE","NO CUMPLE")</f>
        <v>CUMPLE</v>
      </c>
      <c r="AE20" s="75">
        <f>+MAX(AE21:AE23)</f>
        <v>38982968497</v>
      </c>
      <c r="AF20" s="32"/>
      <c r="AG20" s="32" t="str">
        <f>+IF(AE20&gt;=$AG$13,"CUMPLE","NO CUMPLE")</f>
        <v>CUMPLE</v>
      </c>
      <c r="AH20" s="32">
        <f>IF(E20="","",(IF(W20=0,"INDETERMINADO",+U20/W20)))</f>
        <v>1.5344642891210702</v>
      </c>
      <c r="AI20" s="32" t="str">
        <f>IF(OR(AH20="",AH20&lt;$AI$13),"NO CUMPLE","CUMPLE")</f>
        <v>CUMPLE</v>
      </c>
      <c r="AJ20" s="32">
        <f>IF(U21="","",+X20/V20)</f>
        <v>0.5768715748871438</v>
      </c>
      <c r="AK20" s="32" t="str">
        <f>IF(OR(AJ20="",AJ20&gt;$AK$13),"NO CUMPLE","CUMPLE")</f>
        <v>CUMPLE</v>
      </c>
      <c r="AL20" s="32">
        <f>IF(AA20=0,"INDET",(IF(U21="","",Z20/AA20)))</f>
        <v>15.28027609526155</v>
      </c>
      <c r="AM20" s="32" t="str">
        <f>IF(OR(AL20="",AL20&lt;$AM$13),"NO CUMPLE","CUMPLE")</f>
        <v>CUMPLE</v>
      </c>
      <c r="AN20" s="32" t="str">
        <f>IF(AND(AG20="CUMPLE",AI20="CUMPLE",AK20="CUMPLE",AM20="CUMPLE",AD20="CUMPLE"),"CUMPLE","NO CUMPLE")</f>
        <v>CUMPLE</v>
      </c>
      <c r="AO20" s="35">
        <f>IF(U21="","",+Z20/Y20)</f>
        <v>0.310511702146337</v>
      </c>
      <c r="AP20" s="36" t="str">
        <f>IF(OR(AO20="",AO20&lt;$AP$13),"NO CUMPLE","CUMPLE")</f>
        <v>CUMPLE</v>
      </c>
      <c r="AQ20" s="35">
        <f>IF(U21="","",+Z20/V20)</f>
        <v>0.13138632750829193</v>
      </c>
      <c r="AR20" s="36" t="str">
        <f>IF(OR(AQ20="",AQ20&lt;$AR$13),"NO CUMPLE","CUMPLE")</f>
        <v>CUMPLE</v>
      </c>
      <c r="AS20" s="36" t="str">
        <f>IF(U21="","",IF(AND(AP20="CUMPLE",AR20="CUMPLE"),"CUMPLE","NO CUMPLE"))</f>
        <v>CUMPLE</v>
      </c>
      <c r="AT20" s="36" t="s">
        <v>58</v>
      </c>
      <c r="AU20" s="32" t="str">
        <f>IF(U21="","",IF(AND(O20="CUMPLE",AS20="CUMPLE",AN20="CUMPLE",T20="CUMPLE",AT20="CUMPLE"),"CUMPLE","NO CUMPLE"))</f>
        <v>CUMPLE</v>
      </c>
      <c r="AV20" s="37"/>
      <c r="AW20" s="37"/>
    </row>
    <row r="21" spans="1:49" s="5" customFormat="1" ht="13" x14ac:dyDescent="0.2">
      <c r="D21" s="38">
        <f>+D20+0.1</f>
        <v>2.1</v>
      </c>
      <c r="E21" s="39" t="s">
        <v>72</v>
      </c>
      <c r="F21" s="97" t="s">
        <v>73</v>
      </c>
      <c r="G21" s="41">
        <v>0.3</v>
      </c>
      <c r="H21" s="42"/>
      <c r="I21" s="42"/>
      <c r="J21" s="42"/>
      <c r="K21" s="42"/>
      <c r="L21" s="42"/>
      <c r="M21" s="66"/>
      <c r="N21" s="42"/>
      <c r="O21" s="42"/>
      <c r="P21" s="43">
        <v>46085</v>
      </c>
      <c r="Q21" s="43">
        <v>45783</v>
      </c>
      <c r="R21" s="38" t="str">
        <f>IF((NETWORKDAYS(Q21,P21)-1)&gt;=10,"CUMPLE","NO CUMPLE")</f>
        <v>CUMPLE</v>
      </c>
      <c r="S21" s="38" t="str">
        <f>IF(('DATOS INICIALES'!$C$4-P21)&lt;30,"CUMPLE","NO CUMPLE")</f>
        <v>CUMPLE</v>
      </c>
      <c r="T21" s="38" t="str">
        <f t="shared" si="0"/>
        <v>CUMPLE</v>
      </c>
      <c r="U21" s="98">
        <v>112708366981</v>
      </c>
      <c r="V21" s="98">
        <v>149307934968</v>
      </c>
      <c r="W21" s="98">
        <v>73725398484</v>
      </c>
      <c r="X21" s="98">
        <v>85231798024</v>
      </c>
      <c r="Y21" s="98">
        <v>64076136944</v>
      </c>
      <c r="Z21" s="98">
        <v>19738001241</v>
      </c>
      <c r="AA21" s="98">
        <v>1393288724</v>
      </c>
      <c r="AB21" s="44">
        <f>+U21-W21</f>
        <v>38982968497</v>
      </c>
      <c r="AC21" s="48"/>
      <c r="AD21" s="47"/>
      <c r="AE21" s="67">
        <f>+U21-W21</f>
        <v>38982968497</v>
      </c>
      <c r="AF21" s="47"/>
      <c r="AG21" s="68"/>
      <c r="AH21" s="45"/>
      <c r="AI21" s="45"/>
      <c r="AJ21" s="45"/>
      <c r="AK21" s="45"/>
      <c r="AL21" s="45"/>
      <c r="AM21" s="45"/>
      <c r="AN21" s="46"/>
      <c r="AO21" s="47"/>
      <c r="AP21" s="47"/>
      <c r="AQ21" s="47"/>
      <c r="AR21" s="47"/>
      <c r="AS21" s="46"/>
      <c r="AT21" s="46"/>
      <c r="AU21" s="46"/>
      <c r="AV21" s="47"/>
      <c r="AW21" s="47"/>
    </row>
    <row r="22" spans="1:49" s="5" customFormat="1" ht="13" x14ac:dyDescent="0.2">
      <c r="D22" s="38">
        <f>+D21+0.1</f>
        <v>2.2000000000000002</v>
      </c>
      <c r="E22" s="39" t="s">
        <v>74</v>
      </c>
      <c r="F22" s="97" t="s">
        <v>75</v>
      </c>
      <c r="G22" s="41">
        <v>0.3</v>
      </c>
      <c r="H22" s="42"/>
      <c r="I22" s="42"/>
      <c r="J22" s="42"/>
      <c r="K22" s="42"/>
      <c r="L22" s="42"/>
      <c r="M22" s="66"/>
      <c r="N22" s="42"/>
      <c r="O22" s="42"/>
      <c r="P22" s="43">
        <v>46085</v>
      </c>
      <c r="Q22" s="43">
        <v>45772</v>
      </c>
      <c r="R22" s="38" t="str">
        <f>IF((NETWORKDAYS(Q22,P22)-1)&gt;=10,"CUMPLE","NO CUMPLE")</f>
        <v>CUMPLE</v>
      </c>
      <c r="S22" s="38" t="str">
        <f>IF(('DATOS INICIALES'!$C$4-P22)&lt;30,"CUMPLE","NO CUMPLE")</f>
        <v>CUMPLE</v>
      </c>
      <c r="T22" s="38" t="str">
        <f t="shared" si="0"/>
        <v>CUMPLE</v>
      </c>
      <c r="U22" s="98">
        <v>11964303740</v>
      </c>
      <c r="V22" s="98">
        <v>12060231447</v>
      </c>
      <c r="W22" s="98">
        <v>7912659124</v>
      </c>
      <c r="X22" s="98">
        <v>7912659124</v>
      </c>
      <c r="Y22" s="98">
        <v>4147572323</v>
      </c>
      <c r="Z22" s="98">
        <v>1440513522</v>
      </c>
      <c r="AA22" s="98">
        <v>14000</v>
      </c>
      <c r="AB22" s="44">
        <f>+U22-W22</f>
        <v>4051644616</v>
      </c>
      <c r="AC22" s="48"/>
      <c r="AD22" s="47"/>
      <c r="AE22" s="67">
        <f>+U22-W22</f>
        <v>4051644616</v>
      </c>
      <c r="AF22" s="47"/>
      <c r="AG22" s="68"/>
      <c r="AH22" s="45"/>
      <c r="AI22" s="45"/>
      <c r="AJ22" s="45"/>
      <c r="AK22" s="45"/>
      <c r="AL22" s="45"/>
      <c r="AM22" s="45"/>
      <c r="AN22" s="46"/>
      <c r="AO22" s="47"/>
      <c r="AP22" s="47"/>
      <c r="AQ22" s="47"/>
      <c r="AR22" s="47"/>
      <c r="AS22" s="46"/>
      <c r="AT22" s="46"/>
      <c r="AU22" s="46"/>
      <c r="AV22" s="47"/>
      <c r="AW22" s="47"/>
    </row>
    <row r="23" spans="1:49" s="5" customFormat="1" ht="13" x14ac:dyDescent="0.2">
      <c r="D23" s="38">
        <f>+D22+0.1</f>
        <v>2.3000000000000003</v>
      </c>
      <c r="E23" s="39" t="s">
        <v>76</v>
      </c>
      <c r="F23" s="97" t="s">
        <v>77</v>
      </c>
      <c r="G23" s="41">
        <v>0.4</v>
      </c>
      <c r="H23" s="42"/>
      <c r="I23" s="42"/>
      <c r="J23" s="42"/>
      <c r="K23" s="42"/>
      <c r="L23" s="42"/>
      <c r="M23" s="66"/>
      <c r="N23" s="42"/>
      <c r="O23" s="42"/>
      <c r="P23" s="43">
        <v>46086</v>
      </c>
      <c r="Q23" s="43">
        <v>45667</v>
      </c>
      <c r="R23" s="38" t="str">
        <f>IF((NETWORKDAYS(Q23,P23)-1)&gt;=10,"CUMPLE","NO CUMPLE")</f>
        <v>CUMPLE</v>
      </c>
      <c r="S23" s="38" t="str">
        <f>IF(('DATOS INICIALES'!$C$4-P23)&lt;30,"CUMPLE","NO CUMPLE")</f>
        <v>CUMPLE</v>
      </c>
      <c r="T23" s="38" t="str">
        <f t="shared" si="0"/>
        <v>CUMPLE</v>
      </c>
      <c r="U23" s="98">
        <v>505072788</v>
      </c>
      <c r="V23" s="98">
        <v>505072788</v>
      </c>
      <c r="W23" s="98">
        <v>36861597</v>
      </c>
      <c r="X23" s="98">
        <v>249550496</v>
      </c>
      <c r="Y23" s="98">
        <v>255522292</v>
      </c>
      <c r="Z23" s="98">
        <v>83651658</v>
      </c>
      <c r="AA23" s="47">
        <v>0</v>
      </c>
      <c r="AB23" s="44">
        <f>+U23-W23</f>
        <v>468211191</v>
      </c>
      <c r="AC23" s="48"/>
      <c r="AD23" s="47"/>
      <c r="AE23" s="67">
        <f>+U23-W23</f>
        <v>468211191</v>
      </c>
      <c r="AF23" s="47"/>
      <c r="AG23" s="68"/>
      <c r="AH23" s="45"/>
      <c r="AI23" s="45"/>
      <c r="AJ23" s="45"/>
      <c r="AK23" s="45"/>
      <c r="AL23" s="45"/>
      <c r="AM23" s="45"/>
      <c r="AN23" s="46"/>
      <c r="AO23" s="47"/>
      <c r="AP23" s="47"/>
      <c r="AQ23" s="47"/>
      <c r="AR23" s="47"/>
      <c r="AS23" s="46"/>
      <c r="AT23" s="46"/>
      <c r="AU23" s="46"/>
      <c r="AV23" s="47"/>
      <c r="AW23" s="47"/>
    </row>
    <row r="24" spans="1:49" s="4" customFormat="1" ht="15" x14ac:dyDescent="0.2">
      <c r="D24" s="62">
        <v>3</v>
      </c>
      <c r="E24" s="63" t="str">
        <f>IF(D24="","",VLOOKUP(D24,'DATOS INICIALES'!$B$10:$D$69,2,0))</f>
        <v>CONSORCIO AC EL ESTANQUILLO</v>
      </c>
      <c r="F24" s="64">
        <f>IF(D24="","",VLOOKUP(D24,'DATOS INICIALES'!$B$10:$D$69,3,0))</f>
        <v>0</v>
      </c>
      <c r="G24" s="65">
        <f>SUM(G25:G26)</f>
        <v>1</v>
      </c>
      <c r="H24" s="64"/>
      <c r="I24" s="30" t="s">
        <v>55</v>
      </c>
      <c r="J24" s="30" t="str">
        <f>IF(I24="SI","CUMPLE", "NO CUMPLE")</f>
        <v>CUMPLE</v>
      </c>
      <c r="K24" s="30" t="s">
        <v>55</v>
      </c>
      <c r="L24" s="30" t="str">
        <f>IF(K24="SI","CUMPLE", "NO CUMPLE")</f>
        <v>CUMPLE</v>
      </c>
      <c r="M24" s="51">
        <f>+IFERROR(VLOOKUP(D24,'DATOS INICIALES'!$B$10:$G$100,6,0),0)</f>
        <v>69477143896</v>
      </c>
      <c r="N24" s="30" t="str">
        <f>IF(M24&lt;='DATOS INICIALES'!$C$6,"CUMPLE","NO CUMPLE")</f>
        <v>CUMPLE</v>
      </c>
      <c r="O24" s="30" t="str">
        <f>IF(AND(J24="CUMPLE",L24="CUMPLE",N24="CUMPLE"),"CUMPLE","NO CUMPLE")</f>
        <v>CUMPLE</v>
      </c>
      <c r="P24" s="31"/>
      <c r="Q24" s="31"/>
      <c r="R24" s="32" t="str">
        <f>IF(AND(R25="CUMPLE",R26="CUMPLE"),"CUMPLE","NO CUMPLE")</f>
        <v>CUMPLE</v>
      </c>
      <c r="S24" s="32" t="str">
        <f>IF(AND(S25="CUMPLE",S26="CUMPLE"),"CUMPLE","NO CUMPLE")</f>
        <v>CUMPLE</v>
      </c>
      <c r="T24" s="32" t="str">
        <f t="shared" si="0"/>
        <v>CUMPLE</v>
      </c>
      <c r="U24" s="33">
        <f t="shared" ref="U24:AB24" si="3">+(U25*$G25)+(U26*$G26)</f>
        <v>12218840995.5</v>
      </c>
      <c r="V24" s="33">
        <f t="shared" si="3"/>
        <v>14451160292.5</v>
      </c>
      <c r="W24" s="33">
        <f t="shared" si="3"/>
        <v>5781323736.5</v>
      </c>
      <c r="X24" s="33">
        <f t="shared" si="3"/>
        <v>6216054194</v>
      </c>
      <c r="Y24" s="33">
        <f t="shared" si="3"/>
        <v>8235106098.5</v>
      </c>
      <c r="Z24" s="33">
        <f t="shared" si="3"/>
        <v>349101753.5</v>
      </c>
      <c r="AA24" s="33">
        <f t="shared" si="3"/>
        <v>7313555.5</v>
      </c>
      <c r="AB24" s="34">
        <f t="shared" si="3"/>
        <v>6437517259</v>
      </c>
      <c r="AC24" s="34"/>
      <c r="AD24" s="32" t="str">
        <f>IF(AB24&gt;=$AD$13,"CUMPLE","NO CUMPLE")</f>
        <v>CUMPLE</v>
      </c>
      <c r="AE24" s="75">
        <f>+MAX(AE25:AE26)</f>
        <v>12722715518</v>
      </c>
      <c r="AF24" s="32"/>
      <c r="AG24" s="32" t="str">
        <f>+IF(AE24&gt;=$AG$13,"CUMPLE","NO CUMPLE")</f>
        <v>CUMPLE</v>
      </c>
      <c r="AH24" s="32">
        <f>IF(E24="","",(IF(W24=0,"INDETERMINADO",+U24/W24)))</f>
        <v>2.1135022967762844</v>
      </c>
      <c r="AI24" s="32" t="str">
        <f>IF(OR(AH24="",AH24&lt;$AI$13),"NO CUMPLE","CUMPLE")</f>
        <v>CUMPLE</v>
      </c>
      <c r="AJ24" s="32">
        <f>IF(U25="","",+X24/V24)</f>
        <v>0.43014222167517352</v>
      </c>
      <c r="AK24" s="32" t="str">
        <f>IF(OR(AJ24="",AJ24&gt;$AK$13),"NO CUMPLE","CUMPLE")</f>
        <v>CUMPLE</v>
      </c>
      <c r="AL24" s="32">
        <f>IF(AA24=0,"INDET",(IF(U25="","",Z24/AA24)))</f>
        <v>47.733520788896726</v>
      </c>
      <c r="AM24" s="32" t="str">
        <f>IF(OR(AL24="",AL24&lt;$AM$13),"NO CUMPLE","CUMPLE")</f>
        <v>CUMPLE</v>
      </c>
      <c r="AN24" s="32" t="str">
        <f>IF(AND(AG24="CUMPLE",AI24="CUMPLE",AK24="CUMPLE",AM24="CUMPLE",AD24="CUMPLE"),"CUMPLE","NO CUMPLE")</f>
        <v>CUMPLE</v>
      </c>
      <c r="AO24" s="35">
        <f>IF(U25="","",+Z24/Y24)</f>
        <v>4.239189505567971E-2</v>
      </c>
      <c r="AP24" s="36" t="str">
        <f>IF(OR(AO24="",AO24&lt;$AP$13),"NO CUMPLE","CUMPLE")</f>
        <v>CUMPLE</v>
      </c>
      <c r="AQ24" s="35">
        <f>IF(U25="","",+Z24/V24)</f>
        <v>2.4157351135408837E-2</v>
      </c>
      <c r="AR24" s="36" t="str">
        <f>IF(OR(AQ24="",AQ24&lt;$AR$13),"NO CUMPLE","CUMPLE")</f>
        <v>CUMPLE</v>
      </c>
      <c r="AS24" s="36" t="str">
        <f>IF(U25="","",IF(AND(AP24="CUMPLE",AR24="CUMPLE"),"CUMPLE","NO CUMPLE"))</f>
        <v>CUMPLE</v>
      </c>
      <c r="AT24" s="36" t="s">
        <v>58</v>
      </c>
      <c r="AU24" s="32" t="str">
        <f>IF(U25="","",IF(AND(O24="CUMPLE",AS24="CUMPLE",AN24="CUMPLE",T24="CUMPLE",AT24="CUMPLE"),"CUMPLE","NO CUMPLE"))</f>
        <v>CUMPLE</v>
      </c>
      <c r="AV24" s="37"/>
      <c r="AW24" s="37"/>
    </row>
    <row r="25" spans="1:49" s="5" customFormat="1" ht="13" x14ac:dyDescent="0.2">
      <c r="D25" s="38">
        <f>+D24+0.1</f>
        <v>3.1</v>
      </c>
      <c r="E25" s="39" t="s">
        <v>79</v>
      </c>
      <c r="F25" s="40" t="s">
        <v>80</v>
      </c>
      <c r="G25" s="41">
        <v>0.5</v>
      </c>
      <c r="H25" s="42"/>
      <c r="I25" s="42"/>
      <c r="J25" s="42"/>
      <c r="K25" s="42"/>
      <c r="L25" s="42"/>
      <c r="M25" s="66"/>
      <c r="N25" s="42"/>
      <c r="O25" s="42"/>
      <c r="P25" s="43">
        <v>46086</v>
      </c>
      <c r="Q25" s="43">
        <v>45758</v>
      </c>
      <c r="R25" s="38" t="str">
        <f>IF((NETWORKDAYS(Q25,P25)-1)&gt;=10,"CUMPLE","NO CUMPLE")</f>
        <v>CUMPLE</v>
      </c>
      <c r="S25" s="38" t="str">
        <f>IF(('DATOS INICIALES'!$C$4-P25)&lt;30,"CUMPLE","NO CUMPLE")</f>
        <v>CUMPLE</v>
      </c>
      <c r="T25" s="38" t="str">
        <f t="shared" si="0"/>
        <v>CUMPLE</v>
      </c>
      <c r="U25" s="98">
        <v>237585000</v>
      </c>
      <c r="V25" s="98">
        <v>238260000</v>
      </c>
      <c r="W25" s="98">
        <v>85266000</v>
      </c>
      <c r="X25" s="98">
        <v>85266000</v>
      </c>
      <c r="Y25" s="98">
        <v>152994000</v>
      </c>
      <c r="Z25" s="98">
        <v>41476000</v>
      </c>
      <c r="AA25" s="98">
        <v>869000</v>
      </c>
      <c r="AB25" s="44">
        <f>+U25-W25</f>
        <v>152319000</v>
      </c>
      <c r="AC25" s="48"/>
      <c r="AD25" s="47"/>
      <c r="AE25" s="67">
        <f>+U25-W25</f>
        <v>152319000</v>
      </c>
      <c r="AF25" s="47"/>
      <c r="AG25" s="68"/>
      <c r="AH25" s="45"/>
      <c r="AI25" s="45"/>
      <c r="AJ25" s="45"/>
      <c r="AK25" s="45"/>
      <c r="AL25" s="45"/>
      <c r="AM25" s="45"/>
      <c r="AN25" s="46"/>
      <c r="AO25" s="47"/>
      <c r="AP25" s="47"/>
      <c r="AQ25" s="47"/>
      <c r="AR25" s="47"/>
      <c r="AS25" s="46"/>
      <c r="AT25" s="46"/>
      <c r="AU25" s="46"/>
      <c r="AV25" s="47"/>
      <c r="AW25" s="47"/>
    </row>
    <row r="26" spans="1:49" s="4" customFormat="1" x14ac:dyDescent="0.2">
      <c r="A26" s="5"/>
      <c r="B26" s="5"/>
      <c r="C26" s="5"/>
      <c r="D26" s="38">
        <f>+D25+0.1</f>
        <v>3.2</v>
      </c>
      <c r="E26" s="39" t="s">
        <v>81</v>
      </c>
      <c r="F26" s="40" t="s">
        <v>82</v>
      </c>
      <c r="G26" s="41">
        <v>0.5</v>
      </c>
      <c r="H26" s="42"/>
      <c r="I26" s="42"/>
      <c r="J26" s="42"/>
      <c r="K26" s="42"/>
      <c r="L26" s="42"/>
      <c r="M26" s="66"/>
      <c r="N26" s="42"/>
      <c r="O26" s="42"/>
      <c r="P26" s="43">
        <v>46080</v>
      </c>
      <c r="Q26" s="43">
        <v>45775</v>
      </c>
      <c r="R26" s="38" t="str">
        <f>IF((NETWORKDAYS(Q26,P26)-1)&gt;=10,"CUMPLE","NO CUMPLE")</f>
        <v>CUMPLE</v>
      </c>
      <c r="S26" s="38" t="str">
        <f>IF(('DATOS INICIALES'!$C$4-P26)&lt;30,"CUMPLE","NO CUMPLE")</f>
        <v>CUMPLE</v>
      </c>
      <c r="T26" s="38" t="str">
        <f t="shared" si="0"/>
        <v>CUMPLE</v>
      </c>
      <c r="U26" s="98">
        <v>24200096991</v>
      </c>
      <c r="V26" s="98">
        <v>28664060585</v>
      </c>
      <c r="W26" s="98">
        <v>11477381473</v>
      </c>
      <c r="X26" s="98">
        <v>12346842388</v>
      </c>
      <c r="Y26" s="98">
        <v>16317218197</v>
      </c>
      <c r="Z26" s="98">
        <v>656727507</v>
      </c>
      <c r="AA26" s="98">
        <v>13758111</v>
      </c>
      <c r="AB26" s="44">
        <f>+U26-W26</f>
        <v>12722715518</v>
      </c>
      <c r="AC26" s="48"/>
      <c r="AD26" s="47"/>
      <c r="AE26" s="67">
        <f>+U26-W26</f>
        <v>12722715518</v>
      </c>
      <c r="AF26" s="47"/>
      <c r="AG26" s="68"/>
      <c r="AH26" s="45"/>
      <c r="AI26" s="45"/>
      <c r="AJ26" s="45"/>
      <c r="AK26" s="45"/>
      <c r="AL26" s="45"/>
      <c r="AM26" s="45"/>
      <c r="AN26" s="46"/>
      <c r="AO26" s="47"/>
      <c r="AP26" s="47"/>
      <c r="AQ26" s="47"/>
      <c r="AR26" s="47"/>
      <c r="AS26" s="46"/>
      <c r="AT26" s="46"/>
      <c r="AU26" s="46"/>
      <c r="AV26" s="47"/>
      <c r="AW26" s="47"/>
    </row>
    <row r="27" spans="1:49" s="4" customFormat="1" ht="15" x14ac:dyDescent="0.2">
      <c r="D27" s="62">
        <v>4</v>
      </c>
      <c r="E27" s="63" t="str">
        <f>IF(D27="","",VLOOKUP(D27,'DATOS INICIALES'!$B$10:$D$69,2,0))</f>
        <v>CONSORCIO INTERVIAL SUR</v>
      </c>
      <c r="F27" s="64">
        <f>IF(D27="","",VLOOKUP(D27,'DATOS INICIALES'!$B$10:$D$69,3,0))</f>
        <v>0</v>
      </c>
      <c r="G27" s="65">
        <f>SUM(G28:G30)</f>
        <v>1</v>
      </c>
      <c r="H27" s="64"/>
      <c r="I27" s="30" t="s">
        <v>55</v>
      </c>
      <c r="J27" s="30" t="str">
        <f>IF(I27="SI","CUMPLE", "NO CUMPLE")</f>
        <v>CUMPLE</v>
      </c>
      <c r="K27" s="30" t="s">
        <v>55</v>
      </c>
      <c r="L27" s="30" t="str">
        <f>IF(K27="SI","CUMPLE", "NO CUMPLE")</f>
        <v>CUMPLE</v>
      </c>
      <c r="M27" s="51">
        <f>+IFERROR(VLOOKUP(D27,'DATOS INICIALES'!$B$10:$G$100,6,0),0)</f>
        <v>69477143895</v>
      </c>
      <c r="N27" s="30" t="str">
        <f>IF(M27&lt;='DATOS INICIALES'!$C$6,"CUMPLE","NO CUMPLE")</f>
        <v>CUMPLE</v>
      </c>
      <c r="O27" s="30" t="str">
        <f>IF(AND(J27="CUMPLE",L27="CUMPLE",N27="CUMPLE"),"CUMPLE","NO CUMPLE")</f>
        <v>CUMPLE</v>
      </c>
      <c r="P27" s="31"/>
      <c r="Q27" s="31"/>
      <c r="R27" s="32" t="str">
        <f>IF(AND(R28="CUMPLE",R29="CUMPLE",R30="CUMPLE"),"CUMPLE","NO CUMPLE")</f>
        <v>CUMPLE</v>
      </c>
      <c r="S27" s="32" t="str">
        <f>IF(AND(S28="CUMPLE",S29="CUMPLE",S30="CUMPLE"),"CUMPLE","NO CUMPLE")</f>
        <v>CUMPLE</v>
      </c>
      <c r="T27" s="32" t="str">
        <f t="shared" si="0"/>
        <v>CUMPLE</v>
      </c>
      <c r="U27" s="33">
        <f t="shared" ref="U27:AB27" si="4">+(U28*$G28)+(U29*$G29)+(U30*$G30)</f>
        <v>7996070366.6000004</v>
      </c>
      <c r="V27" s="33">
        <f t="shared" si="4"/>
        <v>8269438096</v>
      </c>
      <c r="W27" s="33">
        <f t="shared" si="4"/>
        <v>2211086875.6000004</v>
      </c>
      <c r="X27" s="33">
        <f t="shared" si="4"/>
        <v>3926339652.6000004</v>
      </c>
      <c r="Y27" s="33">
        <f t="shared" si="4"/>
        <v>4343098443.4000006</v>
      </c>
      <c r="Z27" s="33">
        <f t="shared" si="4"/>
        <v>1919909815.2</v>
      </c>
      <c r="AA27" s="33">
        <f t="shared" si="4"/>
        <v>89109824.000000015</v>
      </c>
      <c r="AB27" s="34">
        <f t="shared" si="4"/>
        <v>5784983491</v>
      </c>
      <c r="AC27" s="34"/>
      <c r="AD27" s="32" t="str">
        <f>IF(AB27&gt;=$AD$13,"CUMPLE","NO CUMPLE")</f>
        <v>CUMPLE</v>
      </c>
      <c r="AE27" s="75">
        <f>+MAX(AE28:AE30)</f>
        <v>8247347060</v>
      </c>
      <c r="AF27" s="32"/>
      <c r="AG27" s="32" t="str">
        <f>+IF(AE27&gt;=$AG$13,"CUMPLE","NO CUMPLE")</f>
        <v>CUMPLE</v>
      </c>
      <c r="AH27" s="32">
        <f>IF(E27="","",(IF(W27=0,"INDETERMINADO",+U27/W27)))</f>
        <v>3.6163528691880038</v>
      </c>
      <c r="AI27" s="32" t="str">
        <f>IF(OR(AH27="",AH27&lt;$AI$13),"NO CUMPLE","CUMPLE")</f>
        <v>CUMPLE</v>
      </c>
      <c r="AJ27" s="32">
        <f>IF(U28="","",+X27/V27)</f>
        <v>0.4748012630385619</v>
      </c>
      <c r="AK27" s="32" t="str">
        <f>IF(OR(AJ27="",AJ27&gt;$AK$13),"NO CUMPLE","CUMPLE")</f>
        <v>CUMPLE</v>
      </c>
      <c r="AL27" s="32">
        <f>IF(AA27=0,"INDET",(IF(U28="","",Z27/AA27)))</f>
        <v>21.545433814345763</v>
      </c>
      <c r="AM27" s="32" t="str">
        <f>IF(OR(AL27="",AL27&lt;$AM$13),"NO CUMPLE","CUMPLE")</f>
        <v>CUMPLE</v>
      </c>
      <c r="AN27" s="32" t="str">
        <f>IF(AND(AG27="CUMPLE",AI27="CUMPLE",AK27="CUMPLE",AM27="CUMPLE",AD27="CUMPLE"),"CUMPLE","NO CUMPLE")</f>
        <v>CUMPLE</v>
      </c>
      <c r="AO27" s="35">
        <f>IF(U28="","",+Z27/Y27)</f>
        <v>0.44205993491066164</v>
      </c>
      <c r="AP27" s="36" t="str">
        <f>IF(OR(AO27="",AO27&lt;$AP$13),"NO CUMPLE","CUMPLE")</f>
        <v>CUMPLE</v>
      </c>
      <c r="AQ27" s="35">
        <f>IF(U28="","",+Z27/V27)</f>
        <v>0.23216931947633507</v>
      </c>
      <c r="AR27" s="36" t="str">
        <f>IF(OR(AQ27="",AQ27&lt;$AR$13),"NO CUMPLE","CUMPLE")</f>
        <v>CUMPLE</v>
      </c>
      <c r="AS27" s="36" t="str">
        <f>IF(U28="","",IF(AND(AP27="CUMPLE",AR27="CUMPLE"),"CUMPLE","NO CUMPLE"))</f>
        <v>CUMPLE</v>
      </c>
      <c r="AT27" s="36" t="s">
        <v>58</v>
      </c>
      <c r="AU27" s="32" t="str">
        <f>IF(U28="","",IF(AND(O27="CUMPLE",AS27="CUMPLE",AN27="CUMPLE",T27="CUMPLE",AT27="CUMPLE"),"CUMPLE","NO CUMPLE"))</f>
        <v>CUMPLE</v>
      </c>
      <c r="AV27" s="37"/>
      <c r="AW27" s="37"/>
    </row>
    <row r="28" spans="1:49" s="5" customFormat="1" ht="13" x14ac:dyDescent="0.2">
      <c r="D28" s="38">
        <f>+D27+0.1</f>
        <v>4.0999999999999996</v>
      </c>
      <c r="E28" s="39" t="s">
        <v>84</v>
      </c>
      <c r="F28" s="40" t="s">
        <v>87</v>
      </c>
      <c r="G28" s="41">
        <v>0.2</v>
      </c>
      <c r="H28" s="42"/>
      <c r="I28" s="42"/>
      <c r="J28" s="42"/>
      <c r="K28" s="42"/>
      <c r="L28" s="42"/>
      <c r="M28" s="66"/>
      <c r="N28" s="42"/>
      <c r="O28" s="42"/>
      <c r="P28" s="43">
        <v>46080</v>
      </c>
      <c r="Q28" s="43">
        <v>45792</v>
      </c>
      <c r="R28" s="38" t="str">
        <f>IF((NETWORKDAYS(Q28,P28)-1)&gt;=10,"CUMPLE","NO CUMPLE")</f>
        <v>CUMPLE</v>
      </c>
      <c r="S28" s="38" t="str">
        <f>IF(('DATOS INICIALES'!$C$4-P28)&lt;30,"CUMPLE","NO CUMPLE")</f>
        <v>CUMPLE</v>
      </c>
      <c r="T28" s="38" t="str">
        <f t="shared" si="0"/>
        <v>CUMPLE</v>
      </c>
      <c r="U28" s="98">
        <v>3129258107</v>
      </c>
      <c r="V28" s="98">
        <v>4318560108</v>
      </c>
      <c r="W28" s="98">
        <v>232143026</v>
      </c>
      <c r="X28" s="98">
        <v>1286197189</v>
      </c>
      <c r="Y28" s="98">
        <v>3032362919</v>
      </c>
      <c r="Z28" s="98">
        <v>1224453654</v>
      </c>
      <c r="AA28" s="98">
        <v>1626976</v>
      </c>
      <c r="AB28" s="44">
        <f>+U28-W28</f>
        <v>2897115081</v>
      </c>
      <c r="AC28" s="48"/>
      <c r="AD28" s="47"/>
      <c r="AE28" s="67">
        <f>+U28-W28</f>
        <v>2897115081</v>
      </c>
      <c r="AF28" s="47"/>
      <c r="AG28" s="68"/>
      <c r="AH28" s="45"/>
      <c r="AI28" s="45"/>
      <c r="AJ28" s="45"/>
      <c r="AK28" s="45"/>
      <c r="AL28" s="45"/>
      <c r="AM28" s="45"/>
      <c r="AN28" s="46"/>
      <c r="AO28" s="47"/>
      <c r="AP28" s="47"/>
      <c r="AQ28" s="47"/>
      <c r="AR28" s="47"/>
      <c r="AS28" s="46"/>
      <c r="AT28" s="46"/>
      <c r="AU28" s="46"/>
      <c r="AV28" s="47"/>
      <c r="AW28" s="47"/>
    </row>
    <row r="29" spans="1:49" s="5" customFormat="1" ht="13" x14ac:dyDescent="0.2">
      <c r="D29" s="38">
        <f>+D28+0.1</f>
        <v>4.1999999999999993</v>
      </c>
      <c r="E29" s="39" t="s">
        <v>85</v>
      </c>
      <c r="F29" s="40" t="s">
        <v>88</v>
      </c>
      <c r="G29" s="41">
        <v>0.4</v>
      </c>
      <c r="H29" s="42"/>
      <c r="I29" s="42"/>
      <c r="J29" s="42"/>
      <c r="K29" s="42"/>
      <c r="L29" s="42"/>
      <c r="M29" s="66"/>
      <c r="N29" s="42"/>
      <c r="O29" s="42"/>
      <c r="P29" s="43">
        <v>46076</v>
      </c>
      <c r="Q29" s="43">
        <v>45723</v>
      </c>
      <c r="R29" s="38" t="str">
        <f>IF((NETWORKDAYS(Q29,P29)-1)&gt;=10,"CUMPLE","NO CUMPLE")</f>
        <v>CUMPLE</v>
      </c>
      <c r="S29" s="38" t="str">
        <f>IF(('DATOS INICIALES'!$C$4-P29)&lt;30,"CUMPLE","NO CUMPLE")</f>
        <v>CUMPLE</v>
      </c>
      <c r="T29" s="38" t="str">
        <f t="shared" si="0"/>
        <v>CUMPLE</v>
      </c>
      <c r="U29" s="98">
        <v>8566437952</v>
      </c>
      <c r="V29" s="98">
        <v>8569651367</v>
      </c>
      <c r="W29" s="98">
        <v>3799883825</v>
      </c>
      <c r="X29" s="98">
        <v>4200418656</v>
      </c>
      <c r="Y29" s="98">
        <v>4369232711</v>
      </c>
      <c r="Z29" s="98">
        <v>1074504151</v>
      </c>
      <c r="AA29" s="47">
        <v>0</v>
      </c>
      <c r="AB29" s="44">
        <f>+U29-W29</f>
        <v>4766554127</v>
      </c>
      <c r="AC29" s="48"/>
      <c r="AD29" s="47"/>
      <c r="AE29" s="67">
        <f>+U29-W29</f>
        <v>4766554127</v>
      </c>
      <c r="AF29" s="47"/>
      <c r="AG29" s="68"/>
      <c r="AH29" s="45"/>
      <c r="AI29" s="45"/>
      <c r="AJ29" s="45"/>
      <c r="AK29" s="45"/>
      <c r="AL29" s="45"/>
      <c r="AM29" s="45"/>
      <c r="AN29" s="46"/>
      <c r="AO29" s="47"/>
      <c r="AP29" s="47"/>
      <c r="AQ29" s="47"/>
      <c r="AR29" s="47"/>
      <c r="AS29" s="46"/>
      <c r="AT29" s="46"/>
      <c r="AU29" s="46"/>
      <c r="AV29" s="47"/>
      <c r="AW29" s="47"/>
    </row>
    <row r="30" spans="1:49" s="5" customFormat="1" ht="13" x14ac:dyDescent="0.2">
      <c r="D30" s="38">
        <f>+D29+0.1</f>
        <v>4.2999999999999989</v>
      </c>
      <c r="E30" s="39" t="s">
        <v>86</v>
      </c>
      <c r="F30" s="40" t="s">
        <v>89</v>
      </c>
      <c r="G30" s="41">
        <v>0.4</v>
      </c>
      <c r="H30" s="42"/>
      <c r="I30" s="42"/>
      <c r="J30" s="42"/>
      <c r="K30" s="42"/>
      <c r="L30" s="42"/>
      <c r="M30" s="66"/>
      <c r="N30" s="42"/>
      <c r="O30" s="42"/>
      <c r="P30" s="43">
        <v>46079</v>
      </c>
      <c r="Q30" s="43">
        <v>45748</v>
      </c>
      <c r="R30" s="38" t="str">
        <f>IF((NETWORKDAYS(Q30,P30)-1)&gt;=10,"CUMPLE","NO CUMPLE")</f>
        <v>CUMPLE</v>
      </c>
      <c r="S30" s="38" t="str">
        <f>IF(('DATOS INICIALES'!$C$4-P30)&lt;30,"CUMPLE","NO CUMPLE")</f>
        <v>CUMPLE</v>
      </c>
      <c r="T30" s="38" t="str">
        <f t="shared" si="0"/>
        <v>CUMPLE</v>
      </c>
      <c r="U30" s="98">
        <v>9859108911</v>
      </c>
      <c r="V30" s="98">
        <v>9944663819</v>
      </c>
      <c r="W30" s="98">
        <v>1611761851</v>
      </c>
      <c r="X30" s="98">
        <v>4972331881</v>
      </c>
      <c r="Y30" s="98">
        <v>4972331938</v>
      </c>
      <c r="Z30" s="98">
        <v>3113043560</v>
      </c>
      <c r="AA30" s="98">
        <v>221961072</v>
      </c>
      <c r="AB30" s="44">
        <f>+U30-W30</f>
        <v>8247347060</v>
      </c>
      <c r="AC30" s="48"/>
      <c r="AD30" s="47"/>
      <c r="AE30" s="67">
        <f>+U30-W30</f>
        <v>8247347060</v>
      </c>
      <c r="AF30" s="47"/>
      <c r="AG30" s="68"/>
      <c r="AH30" s="45"/>
      <c r="AI30" s="45"/>
      <c r="AJ30" s="45"/>
      <c r="AK30" s="45"/>
      <c r="AL30" s="45"/>
      <c r="AM30" s="45"/>
      <c r="AN30" s="46"/>
      <c r="AO30" s="47"/>
      <c r="AP30" s="47"/>
      <c r="AQ30" s="47"/>
      <c r="AR30" s="47"/>
      <c r="AS30" s="46"/>
      <c r="AT30" s="46"/>
      <c r="AU30" s="46"/>
      <c r="AV30" s="47"/>
      <c r="AW30" s="47"/>
    </row>
    <row r="31" spans="1:49" s="4" customFormat="1" ht="15" x14ac:dyDescent="0.2">
      <c r="D31" s="62">
        <v>5</v>
      </c>
      <c r="E31" s="63" t="str">
        <f>IF(D31="","",VLOOKUP(D31,'DATOS INICIALES'!$B$10:$D$69,2,0))</f>
        <v>CONSORCIO CTE - ING APP CAUCA</v>
      </c>
      <c r="F31" s="64">
        <f>IF(D31="","",VLOOKUP(D31,'DATOS INICIALES'!$B$10:$D$69,3,0))</f>
        <v>0</v>
      </c>
      <c r="G31" s="65">
        <f>SUM(G32:G33)</f>
        <v>1</v>
      </c>
      <c r="H31" s="64"/>
      <c r="I31" s="30" t="s">
        <v>55</v>
      </c>
      <c r="J31" s="30" t="str">
        <f>IF(I31="SI","CUMPLE", "NO CUMPLE")</f>
        <v>CUMPLE</v>
      </c>
      <c r="K31" s="30" t="s">
        <v>55</v>
      </c>
      <c r="L31" s="30" t="str">
        <f>IF(K31="SI","CUMPLE", "NO CUMPLE")</f>
        <v>CUMPLE</v>
      </c>
      <c r="M31" s="51">
        <f>+IFERROR(VLOOKUP(D31,'DATOS INICIALES'!$B$10:$G$100,6,0),0)</f>
        <v>69477143896</v>
      </c>
      <c r="N31" s="30" t="str">
        <f>IF(M31&lt;='DATOS INICIALES'!$C$6,"CUMPLE","NO CUMPLE")</f>
        <v>CUMPLE</v>
      </c>
      <c r="O31" s="30" t="str">
        <f>IF(AND(J31="CUMPLE",L31="CUMPLE",N31="CUMPLE"),"CUMPLE","NO CUMPLE")</f>
        <v>CUMPLE</v>
      </c>
      <c r="P31" s="31"/>
      <c r="Q31" s="31"/>
      <c r="R31" s="32" t="str">
        <f>IF(AND(R32="CUMPLE",R33="CUMPLE"),"CUMPLE","NO CUMPLE")</f>
        <v>CUMPLE</v>
      </c>
      <c r="S31" s="32" t="str">
        <f>IF(AND(S32="CUMPLE",S33="CUMPLE"),"CUMPLE","NO CUMPLE")</f>
        <v>CUMPLE</v>
      </c>
      <c r="T31" s="32" t="str">
        <f t="shared" si="0"/>
        <v>CUMPLE</v>
      </c>
      <c r="U31" s="33">
        <f t="shared" ref="U31:AB31" si="5">+(U32*$G32)+(U33*$G33)</f>
        <v>12180044378</v>
      </c>
      <c r="V31" s="33">
        <f t="shared" si="5"/>
        <v>13195712148.5</v>
      </c>
      <c r="W31" s="33">
        <f t="shared" si="5"/>
        <v>2694874815</v>
      </c>
      <c r="X31" s="33">
        <f t="shared" si="5"/>
        <v>4757312121.5</v>
      </c>
      <c r="Y31" s="33">
        <f t="shared" si="5"/>
        <v>8438400027</v>
      </c>
      <c r="Z31" s="33">
        <f t="shared" si="5"/>
        <v>2686315792</v>
      </c>
      <c r="AA31" s="33">
        <f t="shared" si="5"/>
        <v>115269400</v>
      </c>
      <c r="AB31" s="34">
        <f t="shared" si="5"/>
        <v>9485169563</v>
      </c>
      <c r="AC31" s="34"/>
      <c r="AD31" s="32" t="str">
        <f>IF(AB31&gt;=$AD$13,"CUMPLE","NO CUMPLE")</f>
        <v>CUMPLE</v>
      </c>
      <c r="AE31" s="75">
        <f>+MAX(AE32:AE33)</f>
        <v>13819187126</v>
      </c>
      <c r="AF31" s="32"/>
      <c r="AG31" s="32" t="str">
        <f>+IF(AE31&gt;=$AG$13,"CUMPLE","NO CUMPLE")</f>
        <v>CUMPLE</v>
      </c>
      <c r="AH31" s="32">
        <f>IF(E31="","",(IF(W31=0,"INDETERMINADO",+U31/W31)))</f>
        <v>4.5197069304312008</v>
      </c>
      <c r="AI31" s="32" t="str">
        <f>IF(OR(AH31="",AH31&lt;$AI$13),"NO CUMPLE","CUMPLE")</f>
        <v>CUMPLE</v>
      </c>
      <c r="AJ31" s="32">
        <f>IF(U32="","",+X31/V31)</f>
        <v>0.36051954361862759</v>
      </c>
      <c r="AK31" s="32" t="str">
        <f>IF(OR(AJ31="",AJ31&gt;$AK$13),"NO CUMPLE","CUMPLE")</f>
        <v>CUMPLE</v>
      </c>
      <c r="AL31" s="32">
        <f>IF(AA31=0,"INDET",(IF(U32="","",Z31/AA31)))</f>
        <v>23.304674024502599</v>
      </c>
      <c r="AM31" s="32" t="str">
        <f>IF(OR(AL31="",AL31&lt;$AM$13),"NO CUMPLE","CUMPLE")</f>
        <v>CUMPLE</v>
      </c>
      <c r="AN31" s="32" t="str">
        <f>IF(AND(AG31="CUMPLE",AI31="CUMPLE",AK31="CUMPLE",AM31="CUMPLE",AD31="CUMPLE"),"CUMPLE","NO CUMPLE")</f>
        <v>CUMPLE</v>
      </c>
      <c r="AO31" s="35">
        <f>IF(U32="","",+Z31/Y31)</f>
        <v>0.31834421020628395</v>
      </c>
      <c r="AP31" s="36" t="str">
        <f>IF(OR(AO31="",AO31&lt;$AP$13),"NO CUMPLE","CUMPLE")</f>
        <v>CUMPLE</v>
      </c>
      <c r="AQ31" s="35">
        <f>IF(U32="","",+Z31/V31)</f>
        <v>0.203574900829082</v>
      </c>
      <c r="AR31" s="36" t="str">
        <f>IF(OR(AQ31="",AQ31&lt;$AR$13),"NO CUMPLE","CUMPLE")</f>
        <v>CUMPLE</v>
      </c>
      <c r="AS31" s="36" t="str">
        <f>IF(U32="","",IF(AND(AP31="CUMPLE",AR31="CUMPLE"),"CUMPLE","NO CUMPLE"))</f>
        <v>CUMPLE</v>
      </c>
      <c r="AT31" s="36" t="s">
        <v>58</v>
      </c>
      <c r="AU31" s="32" t="str">
        <f>IF(U32="","",IF(AND(O31="CUMPLE",AS31="CUMPLE",AN31="CUMPLE",T31="CUMPLE",AT31="CUMPLE"),"CUMPLE","NO CUMPLE"))</f>
        <v>CUMPLE</v>
      </c>
      <c r="AV31" s="37"/>
      <c r="AW31" s="37"/>
    </row>
    <row r="32" spans="1:49" s="5" customFormat="1" ht="13" x14ac:dyDescent="0.2">
      <c r="D32" s="38">
        <f>+D31+0.1</f>
        <v>5.0999999999999996</v>
      </c>
      <c r="E32" s="39" t="s">
        <v>96</v>
      </c>
      <c r="F32" s="40" t="s">
        <v>97</v>
      </c>
      <c r="G32" s="41">
        <v>0.5</v>
      </c>
      <c r="H32" s="42"/>
      <c r="I32" s="42"/>
      <c r="J32" s="42"/>
      <c r="K32" s="42"/>
      <c r="L32" s="42"/>
      <c r="M32" s="66"/>
      <c r="N32" s="42"/>
      <c r="O32" s="42"/>
      <c r="P32" s="43">
        <v>46085</v>
      </c>
      <c r="Q32" s="43">
        <v>45744</v>
      </c>
      <c r="R32" s="38" t="str">
        <f>IF((NETWORKDAYS(Q32,P32)-1)&gt;=10,"CUMPLE","NO CUMPLE")</f>
        <v>CUMPLE</v>
      </c>
      <c r="S32" s="38" t="str">
        <f>IF(('DATOS INICIALES'!$C$4-P32)&lt;30,"CUMPLE","NO CUMPLE")</f>
        <v>CUMPLE</v>
      </c>
      <c r="T32" s="38" t="str">
        <f t="shared" si="0"/>
        <v>CUMPLE</v>
      </c>
      <c r="U32" s="98">
        <v>5570673000</v>
      </c>
      <c r="V32" s="98">
        <v>7458045000</v>
      </c>
      <c r="W32" s="98">
        <v>419521000</v>
      </c>
      <c r="X32" s="98">
        <v>1548312000</v>
      </c>
      <c r="Y32" s="98">
        <v>5909733000</v>
      </c>
      <c r="Z32" s="98">
        <v>2481358000</v>
      </c>
      <c r="AA32" s="98">
        <v>228594000</v>
      </c>
      <c r="AB32" s="44">
        <f>+U32-W32</f>
        <v>5151152000</v>
      </c>
      <c r="AC32" s="48"/>
      <c r="AD32" s="47"/>
      <c r="AE32" s="67">
        <f>+U32-W32</f>
        <v>5151152000</v>
      </c>
      <c r="AF32" s="47"/>
      <c r="AG32" s="68"/>
      <c r="AH32" s="45"/>
      <c r="AI32" s="45"/>
      <c r="AJ32" s="45"/>
      <c r="AK32" s="45"/>
      <c r="AL32" s="45"/>
      <c r="AM32" s="45"/>
      <c r="AN32" s="46"/>
      <c r="AO32" s="47"/>
      <c r="AP32" s="47"/>
      <c r="AQ32" s="47"/>
      <c r="AR32" s="47"/>
      <c r="AS32" s="46"/>
      <c r="AT32" s="46"/>
      <c r="AU32" s="46"/>
      <c r="AV32" s="47"/>
      <c r="AW32" s="47"/>
    </row>
    <row r="33" spans="1:49" s="5" customFormat="1" ht="26" x14ac:dyDescent="0.2">
      <c r="D33" s="38">
        <f>+D32+0.1</f>
        <v>5.1999999999999993</v>
      </c>
      <c r="E33" s="39" t="s">
        <v>98</v>
      </c>
      <c r="F33" s="40" t="s">
        <v>99</v>
      </c>
      <c r="G33" s="41">
        <v>0.5</v>
      </c>
      <c r="H33" s="42"/>
      <c r="I33" s="42"/>
      <c r="J33" s="42"/>
      <c r="K33" s="42"/>
      <c r="L33" s="42"/>
      <c r="M33" s="66"/>
      <c r="N33" s="42"/>
      <c r="O33" s="42"/>
      <c r="P33" s="43">
        <v>46069</v>
      </c>
      <c r="Q33" s="43">
        <v>45755</v>
      </c>
      <c r="R33" s="38" t="str">
        <f>IF((NETWORKDAYS(Q33,P33)-1)&gt;=10,"CUMPLE","NO CUMPLE")</f>
        <v>CUMPLE</v>
      </c>
      <c r="S33" s="38" t="str">
        <f>IF(('DATOS INICIALES'!$C$4-P33)&lt;30,"CUMPLE","NO CUMPLE")</f>
        <v>CUMPLE</v>
      </c>
      <c r="T33" s="38" t="str">
        <f t="shared" si="0"/>
        <v>CUMPLE</v>
      </c>
      <c r="U33" s="98">
        <v>18789415756</v>
      </c>
      <c r="V33" s="98">
        <v>18933379297</v>
      </c>
      <c r="W33" s="98">
        <v>4970228630</v>
      </c>
      <c r="X33" s="98">
        <v>7966312243</v>
      </c>
      <c r="Y33" s="98">
        <v>10967067054</v>
      </c>
      <c r="Z33" s="98">
        <v>2891273584</v>
      </c>
      <c r="AA33" s="98">
        <v>1944800</v>
      </c>
      <c r="AB33" s="44">
        <f>+U33-W33</f>
        <v>13819187126</v>
      </c>
      <c r="AC33" s="48"/>
      <c r="AD33" s="47"/>
      <c r="AE33" s="67">
        <f>+U33-W33</f>
        <v>13819187126</v>
      </c>
      <c r="AF33" s="47"/>
      <c r="AG33" s="68"/>
      <c r="AH33" s="45"/>
      <c r="AI33" s="45"/>
      <c r="AJ33" s="45"/>
      <c r="AK33" s="45"/>
      <c r="AL33" s="45"/>
      <c r="AM33" s="45"/>
      <c r="AN33" s="46"/>
      <c r="AO33" s="47"/>
      <c r="AP33" s="47"/>
      <c r="AQ33" s="47"/>
      <c r="AR33" s="47"/>
      <c r="AS33" s="46"/>
      <c r="AT33" s="46"/>
      <c r="AU33" s="46"/>
      <c r="AV33" s="47"/>
      <c r="AW33" s="47"/>
    </row>
    <row r="34" spans="1:49" s="4" customFormat="1" ht="18" customHeight="1" x14ac:dyDescent="0.2">
      <c r="D34" s="62">
        <v>6</v>
      </c>
      <c r="E34" s="63" t="str">
        <f>IF(D34="","",VLOOKUP(D34,'DATOS INICIALES'!$B$10:$D$69,2,0))</f>
        <v>CONSORCIO CORREDOR EL ESTANQUILLO ITLSC</v>
      </c>
      <c r="F34" s="64"/>
      <c r="G34" s="65">
        <f>SUM(G35:G39)</f>
        <v>1</v>
      </c>
      <c r="H34" s="64"/>
      <c r="I34" s="30" t="s">
        <v>55</v>
      </c>
      <c r="J34" s="30" t="str">
        <f>IF(I34="SI","CUMPLE", "NO CUMPLE")</f>
        <v>CUMPLE</v>
      </c>
      <c r="K34" s="30" t="s">
        <v>55</v>
      </c>
      <c r="L34" s="30" t="str">
        <f>IF(K34="SI","CUMPLE", "NO CUMPLE")</f>
        <v>CUMPLE</v>
      </c>
      <c r="M34" s="51">
        <f>+IFERROR(VLOOKUP(D34,'DATOS INICIALES'!$B$10:$G$100,6,0),0)</f>
        <v>69477143896</v>
      </c>
      <c r="N34" s="30" t="str">
        <f>IF(M34&lt;='DATOS INICIALES'!$C$6,"CUMPLE","NO CUMPLE")</f>
        <v>CUMPLE</v>
      </c>
      <c r="O34" s="30" t="str">
        <f>IF(AND(J34="CUMPLE",L34="CUMPLE",N34="CUMPLE"),"CUMPLE","NO CUMPLE")</f>
        <v>CUMPLE</v>
      </c>
      <c r="P34" s="31"/>
      <c r="Q34" s="31"/>
      <c r="R34" s="32" t="str">
        <f>IF(AND(R35="CUMPLE",R36="CUMPLE",R37="CUMPLE",R38="CUMPLE",R39="CUMPLE"),"CUMPLE","NO CUMPLE")</f>
        <v>CUMPLE</v>
      </c>
      <c r="S34" s="32" t="str">
        <f>IF(AND(S35="CUMPLE",S36="CUMPLE",S37="CUMPLE",S38="CUMPLE",S39="CUMPLE"),"CUMPLE","NO CUMPLE")</f>
        <v>CUMPLE</v>
      </c>
      <c r="T34" s="32" t="str">
        <f t="shared" si="0"/>
        <v>CUMPLE</v>
      </c>
      <c r="U34" s="33">
        <f>+(U35*G35)+(U36*G36)+(U37*G37)+(U38*G38)+(U39*G39)</f>
        <v>6710808743.3379002</v>
      </c>
      <c r="V34" s="33">
        <f>+(V35*G35)+(V36*G36)+(V37*G37)+(V38*G38)+(V39*G39)</f>
        <v>18156176544.479</v>
      </c>
      <c r="W34" s="33">
        <f t="shared" ref="W34:AB34" si="6">+(W35*$G35)+(W36*$G36)+(W37*$G37)+(W38*$G38)+(W39*$G39)</f>
        <v>925345384.30180001</v>
      </c>
      <c r="X34" s="33">
        <f t="shared" si="6"/>
        <v>4208621612.9647999</v>
      </c>
      <c r="Y34" s="33">
        <f t="shared" si="6"/>
        <v>13947554931.5165</v>
      </c>
      <c r="Z34" s="33">
        <f t="shared" si="6"/>
        <v>435562278.94330001</v>
      </c>
      <c r="AA34" s="33">
        <f t="shared" si="6"/>
        <v>29422287.750599999</v>
      </c>
      <c r="AB34" s="34">
        <f t="shared" si="6"/>
        <v>5785463359.0361004</v>
      </c>
      <c r="AC34" s="34"/>
      <c r="AD34" s="32" t="str">
        <f>IF(AB34&gt;=$AD$13,"CUMPLE","NO CUMPLE")</f>
        <v>CUMPLE</v>
      </c>
      <c r="AE34" s="75">
        <f>+MAX(AE35:AE39)</f>
        <v>14273885474</v>
      </c>
      <c r="AF34" s="32"/>
      <c r="AG34" s="32" t="str">
        <f>+IF(AE34&gt;=$AG$13,"CUMPLE","NO CUMPLE")</f>
        <v>CUMPLE</v>
      </c>
      <c r="AH34" s="32">
        <f>IF(E34="","",(IF(W34=0,"INDETERMINADO",U34/W34)))</f>
        <v>7.2522204759268352</v>
      </c>
      <c r="AI34" s="32" t="str">
        <f>IF(OR(AH34="",AH34&lt;$AI$13),"NO CUMPLE","CUMPLE")</f>
        <v>CUMPLE</v>
      </c>
      <c r="AJ34" s="32">
        <f>IF(U35="","",+X34/V34)</f>
        <v>0.23180109549246333</v>
      </c>
      <c r="AK34" s="32" t="str">
        <f>IF(OR(AJ34="",AJ34&gt;$AK$13),"NO CUMPLE","CUMPLE")</f>
        <v>CUMPLE</v>
      </c>
      <c r="AL34" s="32">
        <f>IF(AA34=0,"INDET",(IF(U35="","",Z34/AA34)))</f>
        <v>14.803820920907746</v>
      </c>
      <c r="AM34" s="32" t="str">
        <f>IF(OR(AL34="",AL34&lt;$AM$13),"NO CUMPLE","CUMPLE")</f>
        <v>CUMPLE</v>
      </c>
      <c r="AN34" s="32" t="str">
        <f>IF(AND(AG34="CUMPLE",AI34="CUMPLE",AK34="CUMPLE",AM34="CUMPLE",AD34="CUMPLE"),"CUMPLE","NO CUMPLE")</f>
        <v>CUMPLE</v>
      </c>
      <c r="AO34" s="35">
        <f>IF(U35="","",+Z34/Y34)</f>
        <v>3.1228575982094508E-2</v>
      </c>
      <c r="AP34" s="36" t="str">
        <f>IF(OR(AO34="",AO34&lt;$AP$13),"NO CUMPLE","CUMPLE")</f>
        <v>CUMPLE</v>
      </c>
      <c r="AQ34" s="35">
        <f>IF(U35="","",+Z34/V34)</f>
        <v>2.3989757858779329E-2</v>
      </c>
      <c r="AR34" s="36" t="str">
        <f>IF(OR(AQ34="",AQ34&lt;$AR$13),"NO CUMPLE","CUMPLE")</f>
        <v>CUMPLE</v>
      </c>
      <c r="AS34" s="36" t="str">
        <f>IF(U35="","",IF(AND(AP34="CUMPLE",AR34="CUMPLE"),"CUMPLE","NO CUMPLE"))</f>
        <v>CUMPLE</v>
      </c>
      <c r="AT34" s="36" t="s">
        <v>58</v>
      </c>
      <c r="AU34" s="32" t="str">
        <f>IF(U35="","",IF(AND(O34="CUMPLE",AS34="CUMPLE",AN34="CUMPLE",T34="CUMPLE",AT34="CUMPLE"),"CUMPLE","NO CUMPLE"))</f>
        <v>CUMPLE</v>
      </c>
      <c r="AV34" s="37"/>
      <c r="AW34" s="37"/>
    </row>
    <row r="35" spans="1:49" s="5" customFormat="1" ht="13" x14ac:dyDescent="0.2">
      <c r="D35" s="38">
        <f>+D34+0.1</f>
        <v>6.1</v>
      </c>
      <c r="E35" s="39" t="s">
        <v>100</v>
      </c>
      <c r="F35" s="40" t="s">
        <v>101</v>
      </c>
      <c r="G35" s="41">
        <v>0.2</v>
      </c>
      <c r="H35" s="42"/>
      <c r="I35" s="42"/>
      <c r="J35" s="42"/>
      <c r="K35" s="42"/>
      <c r="L35" s="42"/>
      <c r="M35" s="66"/>
      <c r="N35" s="42"/>
      <c r="O35" s="42"/>
      <c r="P35" s="43">
        <v>46080</v>
      </c>
      <c r="Q35" s="43">
        <v>45744</v>
      </c>
      <c r="R35" s="38" t="str">
        <f>IF((NETWORKDAYS(Q35,P35)-1)&gt;=10,"CUMPLE","NO CUMPLE")</f>
        <v>CUMPLE</v>
      </c>
      <c r="S35" s="38" t="str">
        <f>IF(('DATOS INICIALES'!$C$4-P35)&lt;30,"CUMPLE","NO CUMPLE")</f>
        <v>CUMPLE</v>
      </c>
      <c r="T35" s="38" t="str">
        <f t="shared" si="0"/>
        <v>CUMPLE</v>
      </c>
      <c r="U35" s="44">
        <v>597082000</v>
      </c>
      <c r="V35" s="44">
        <v>632675000</v>
      </c>
      <c r="W35" s="44">
        <v>74614000</v>
      </c>
      <c r="X35" s="44">
        <v>74614000</v>
      </c>
      <c r="Y35" s="44">
        <v>558061000</v>
      </c>
      <c r="Z35" s="44">
        <v>97080000</v>
      </c>
      <c r="AA35" s="44">
        <v>298000</v>
      </c>
      <c r="AB35" s="44">
        <f>+U35-W35</f>
        <v>522468000</v>
      </c>
      <c r="AC35" s="44"/>
      <c r="AD35" s="44"/>
      <c r="AE35" s="44">
        <f>+U35-W35</f>
        <v>522468000</v>
      </c>
      <c r="AF35" s="44"/>
      <c r="AG35" s="68"/>
      <c r="AH35" s="45"/>
      <c r="AI35" s="45"/>
      <c r="AJ35" s="45"/>
      <c r="AK35" s="45"/>
      <c r="AL35" s="45"/>
      <c r="AM35" s="45"/>
      <c r="AN35" s="46"/>
      <c r="AO35" s="47"/>
      <c r="AP35" s="47"/>
      <c r="AQ35" s="47"/>
      <c r="AR35" s="47"/>
      <c r="AS35" s="46"/>
      <c r="AT35" s="46"/>
      <c r="AU35" s="46"/>
      <c r="AV35" s="47"/>
      <c r="AW35" s="47"/>
    </row>
    <row r="36" spans="1:49" s="5" customFormat="1" ht="13" x14ac:dyDescent="0.2">
      <c r="D36" s="38">
        <f>+D35+0.1</f>
        <v>6.1999999999999993</v>
      </c>
      <c r="E36" s="39" t="s">
        <v>102</v>
      </c>
      <c r="F36" s="40" t="s">
        <v>103</v>
      </c>
      <c r="G36" s="41">
        <v>0.17</v>
      </c>
      <c r="H36" s="42"/>
      <c r="I36" s="42"/>
      <c r="J36" s="42"/>
      <c r="K36" s="42"/>
      <c r="L36" s="42"/>
      <c r="M36" s="66"/>
      <c r="N36" s="42"/>
      <c r="O36" s="42"/>
      <c r="P36" s="43">
        <v>46080</v>
      </c>
      <c r="Q36" s="43">
        <v>45762</v>
      </c>
      <c r="R36" s="38" t="str">
        <f>IF((NETWORKDAYS(Q36,P36)-1)&gt;=10,"CUMPLE","NO CUMPLE")</f>
        <v>CUMPLE</v>
      </c>
      <c r="S36" s="38" t="str">
        <f>IF(('DATOS INICIALES'!$C$4-P36)&lt;30,"CUMPLE","NO CUMPLE")</f>
        <v>CUMPLE</v>
      </c>
      <c r="T36" s="38" t="str">
        <f t="shared" si="0"/>
        <v>CUMPLE</v>
      </c>
      <c r="U36" s="44">
        <v>5920717129</v>
      </c>
      <c r="V36" s="44">
        <v>7447341788</v>
      </c>
      <c r="W36" s="44">
        <v>2706950591</v>
      </c>
      <c r="X36" s="44">
        <v>5003034571</v>
      </c>
      <c r="Y36" s="44">
        <v>2444307217</v>
      </c>
      <c r="Z36" s="44">
        <v>879745922</v>
      </c>
      <c r="AA36" s="44">
        <v>5440920</v>
      </c>
      <c r="AB36" s="44">
        <f>+U36-W36</f>
        <v>3213766538</v>
      </c>
      <c r="AC36" s="44"/>
      <c r="AD36" s="44"/>
      <c r="AE36" s="44">
        <f>+U36-W36</f>
        <v>3213766538</v>
      </c>
      <c r="AF36" s="44"/>
      <c r="AG36" s="68"/>
      <c r="AH36" s="45"/>
      <c r="AI36" s="45"/>
      <c r="AJ36" s="45"/>
      <c r="AK36" s="45"/>
      <c r="AL36" s="45"/>
      <c r="AM36" s="45"/>
      <c r="AN36" s="46"/>
      <c r="AO36" s="47"/>
      <c r="AP36" s="47"/>
      <c r="AQ36" s="47"/>
      <c r="AR36" s="47"/>
      <c r="AS36" s="46"/>
      <c r="AT36" s="46"/>
      <c r="AU36" s="46"/>
      <c r="AV36" s="47"/>
      <c r="AW36" s="47"/>
    </row>
    <row r="37" spans="1:49" s="5" customFormat="1" ht="26" customHeight="1" x14ac:dyDescent="0.2">
      <c r="D37" s="38">
        <f>+D36+0.1</f>
        <v>6.2999999999999989</v>
      </c>
      <c r="E37" s="39" t="s">
        <v>104</v>
      </c>
      <c r="F37" s="40" t="s">
        <v>105</v>
      </c>
      <c r="G37" s="41">
        <v>0.23</v>
      </c>
      <c r="H37" s="42"/>
      <c r="I37" s="42"/>
      <c r="J37" s="42"/>
      <c r="K37" s="42"/>
      <c r="L37" s="42"/>
      <c r="M37" s="66"/>
      <c r="N37" s="42"/>
      <c r="O37" s="42"/>
      <c r="P37" s="43">
        <v>46080</v>
      </c>
      <c r="Q37" s="43">
        <v>45768</v>
      </c>
      <c r="R37" s="38" t="str">
        <f>IF((NETWORKDAYS(Q37,P37)-1)&gt;=10,"CUMPLE","NO CUMPLE")</f>
        <v>CUMPLE</v>
      </c>
      <c r="S37" s="38" t="str">
        <f>IF(('DATOS INICIALES'!$C$4-P37)&lt;30,"CUMPLE","NO CUMPLE")</f>
        <v>CUMPLE</v>
      </c>
      <c r="T37" s="38" t="str">
        <f t="shared" si="0"/>
        <v>CUMPLE</v>
      </c>
      <c r="U37" s="44">
        <v>10982521268.73</v>
      </c>
      <c r="V37" s="44">
        <v>57570158455.300003</v>
      </c>
      <c r="W37" s="44">
        <v>1497810256.6600001</v>
      </c>
      <c r="X37" s="44">
        <v>7280234644.7600002</v>
      </c>
      <c r="Y37" s="44">
        <v>50289923810.550003</v>
      </c>
      <c r="Z37" s="44">
        <v>358333648.70999998</v>
      </c>
      <c r="AA37" s="44">
        <v>123642310.22</v>
      </c>
      <c r="AB37" s="44">
        <f>+U37-W37</f>
        <v>9484711012.0699997</v>
      </c>
      <c r="AC37" s="44"/>
      <c r="AD37" s="44"/>
      <c r="AE37" s="44">
        <f>+U37-W37</f>
        <v>9484711012.0699997</v>
      </c>
      <c r="AF37" s="44"/>
      <c r="AG37" s="68"/>
      <c r="AH37" s="45"/>
      <c r="AI37" s="45"/>
      <c r="AJ37" s="45"/>
      <c r="AK37" s="45"/>
      <c r="AL37" s="45"/>
      <c r="AM37" s="45"/>
      <c r="AN37" s="46"/>
      <c r="AO37" s="47"/>
      <c r="AP37" s="47"/>
      <c r="AQ37" s="47"/>
      <c r="AR37" s="47"/>
      <c r="AS37" s="46"/>
      <c r="AT37" s="46"/>
      <c r="AU37" s="46"/>
      <c r="AV37" s="47"/>
      <c r="AW37" s="47"/>
    </row>
    <row r="38" spans="1:49" s="5" customFormat="1" ht="13" x14ac:dyDescent="0.2">
      <c r="D38" s="38">
        <f>+D37+0.1</f>
        <v>6.3999999999999986</v>
      </c>
      <c r="E38" s="39" t="s">
        <v>106</v>
      </c>
      <c r="F38" s="40" t="s">
        <v>107</v>
      </c>
      <c r="G38" s="41">
        <v>0.2</v>
      </c>
      <c r="H38" s="42"/>
      <c r="I38" s="42"/>
      <c r="J38" s="42"/>
      <c r="K38" s="42"/>
      <c r="L38" s="42"/>
      <c r="M38" s="66"/>
      <c r="N38" s="42"/>
      <c r="O38" s="42"/>
      <c r="P38" s="43">
        <v>46087</v>
      </c>
      <c r="Q38" s="43">
        <v>45762</v>
      </c>
      <c r="R38" s="38" t="str">
        <f>IF((NETWORKDAYS(Q38,P38)-1)&gt;=10,"CUMPLE","NO CUMPLE")</f>
        <v>CUMPLE</v>
      </c>
      <c r="S38" s="38" t="str">
        <f>IF(('DATOS INICIALES'!$C$4-P38)&lt;30,"CUMPLE","NO CUMPLE")</f>
        <v>CUMPLE</v>
      </c>
      <c r="T38" s="38" t="str">
        <f t="shared" si="0"/>
        <v>CUMPLE</v>
      </c>
      <c r="U38" s="98">
        <v>491844100</v>
      </c>
      <c r="V38" s="44">
        <v>1156844100</v>
      </c>
      <c r="W38" s="44">
        <v>0</v>
      </c>
      <c r="X38" s="44">
        <v>0</v>
      </c>
      <c r="Y38" s="44">
        <v>1156844100</v>
      </c>
      <c r="Z38" s="44">
        <v>43155900</v>
      </c>
      <c r="AA38" s="44">
        <v>0</v>
      </c>
      <c r="AB38" s="44">
        <f>+U38-W38</f>
        <v>491844100</v>
      </c>
      <c r="AC38" s="44"/>
      <c r="AD38" s="44"/>
      <c r="AE38" s="44">
        <f>+U38-W38</f>
        <v>491844100</v>
      </c>
      <c r="AF38" s="44"/>
      <c r="AG38" s="68"/>
      <c r="AH38" s="45"/>
      <c r="AI38" s="45"/>
      <c r="AJ38" s="45"/>
      <c r="AK38" s="45"/>
      <c r="AL38" s="45"/>
      <c r="AM38" s="45"/>
      <c r="AN38" s="46"/>
      <c r="AO38" s="47"/>
      <c r="AP38" s="47"/>
      <c r="AQ38" s="47"/>
      <c r="AR38" s="47"/>
      <c r="AS38" s="46"/>
      <c r="AT38" s="46"/>
      <c r="AU38" s="46"/>
      <c r="AV38" s="47"/>
      <c r="AW38" s="47"/>
    </row>
    <row r="39" spans="1:49" s="5" customFormat="1" ht="13" x14ac:dyDescent="0.2">
      <c r="D39" s="38">
        <f>+D38+0.1</f>
        <v>6.4999999999999982</v>
      </c>
      <c r="E39" s="39" t="s">
        <v>108</v>
      </c>
      <c r="F39" s="40" t="s">
        <v>109</v>
      </c>
      <c r="G39" s="41">
        <v>0.2</v>
      </c>
      <c r="H39" s="42"/>
      <c r="I39" s="42"/>
      <c r="J39" s="42"/>
      <c r="K39" s="42"/>
      <c r="L39" s="42"/>
      <c r="M39" s="66"/>
      <c r="N39" s="42"/>
      <c r="O39" s="42"/>
      <c r="P39" s="43">
        <v>46069</v>
      </c>
      <c r="Q39" s="43">
        <v>45747</v>
      </c>
      <c r="R39" s="38" t="str">
        <f>IF((NETWORKDAYS(Q39,P39)-1)&gt;=10,"CUMPLE","NO CUMPLE")</f>
        <v>CUMPLE</v>
      </c>
      <c r="S39" s="38" t="str">
        <f>IF(('DATOS INICIALES'!$C$4-P39)&lt;30,"CUMPLE","NO CUMPLE")</f>
        <v>CUMPLE</v>
      </c>
      <c r="T39" s="38" t="str">
        <f t="shared" si="0"/>
        <v>CUMPLE</v>
      </c>
      <c r="U39" s="44">
        <v>14802608598</v>
      </c>
      <c r="V39" s="44">
        <v>16455440879</v>
      </c>
      <c r="W39" s="44">
        <v>528723124</v>
      </c>
      <c r="X39" s="44">
        <v>8343644838</v>
      </c>
      <c r="Y39" s="44">
        <v>8111796041</v>
      </c>
      <c r="Z39" s="44">
        <v>877707765</v>
      </c>
      <c r="AA39" s="44">
        <v>0</v>
      </c>
      <c r="AB39" s="44">
        <f>+U39-W39</f>
        <v>14273885474</v>
      </c>
      <c r="AC39" s="44"/>
      <c r="AD39" s="44"/>
      <c r="AE39" s="44">
        <f>+U39-W39</f>
        <v>14273885474</v>
      </c>
      <c r="AF39" s="44"/>
      <c r="AG39" s="68"/>
      <c r="AH39" s="45"/>
      <c r="AI39" s="45"/>
      <c r="AJ39" s="45"/>
      <c r="AK39" s="45"/>
      <c r="AL39" s="45"/>
      <c r="AM39" s="45"/>
      <c r="AN39" s="46"/>
      <c r="AO39" s="47"/>
      <c r="AP39" s="47"/>
      <c r="AQ39" s="47"/>
      <c r="AR39" s="47"/>
      <c r="AS39" s="46"/>
      <c r="AT39" s="46"/>
      <c r="AU39" s="46"/>
      <c r="AV39" s="47"/>
      <c r="AW39" s="47"/>
    </row>
    <row r="40" spans="1:49" s="4" customFormat="1" ht="15" x14ac:dyDescent="0.2">
      <c r="D40" s="62">
        <v>7</v>
      </c>
      <c r="E40" s="63" t="str">
        <f>IF(D40="","",VLOOKUP(D40,'DATOS INICIALES'!$B$10:$D$69,2,0))</f>
        <v>CONSORCIO INTERAPP POPAYÁN</v>
      </c>
      <c r="F40" s="64">
        <f>IF(D40="","",VLOOKUP(D40,'DATOS INICIALES'!$B$10:$D$69,3,0))</f>
        <v>0</v>
      </c>
      <c r="G40" s="65">
        <f>SUM(G41:G42)</f>
        <v>1</v>
      </c>
      <c r="H40" s="64"/>
      <c r="I40" s="30" t="s">
        <v>55</v>
      </c>
      <c r="J40" s="30" t="str">
        <f>IF(I40="SI","CUMPLE", "NO CUMPLE")</f>
        <v>CUMPLE</v>
      </c>
      <c r="K40" s="30" t="s">
        <v>55</v>
      </c>
      <c r="L40" s="30" t="str">
        <f>IF(K40="SI","CUMPLE", "NO CUMPLE")</f>
        <v>CUMPLE</v>
      </c>
      <c r="M40" s="51">
        <f>+IFERROR(VLOOKUP(D40,'DATOS INICIALES'!$B$10:$G$100,6,0),0)</f>
        <v>69477143896</v>
      </c>
      <c r="N40" s="30" t="str">
        <f>IF(M40&lt;='DATOS INICIALES'!$C$6,"CUMPLE","NO CUMPLE")</f>
        <v>CUMPLE</v>
      </c>
      <c r="O40" s="30" t="str">
        <f>IF(AND(J40="CUMPLE",L40="CUMPLE",N40="CUMPLE"),"CUMPLE","NO CUMPLE")</f>
        <v>CUMPLE</v>
      </c>
      <c r="P40" s="31"/>
      <c r="Q40" s="31"/>
      <c r="R40" s="32" t="str">
        <f>IF(AND(R41="CUMPLE",R42="CUMPLE"),"CUMPLE","NO CUMPLE")</f>
        <v>CUMPLE</v>
      </c>
      <c r="S40" s="32" t="str">
        <f>IF(AND(S41="CUMPLE",S42="CUMPLE"),"CUMPLE","NO CUMPLE")</f>
        <v>CUMPLE</v>
      </c>
      <c r="T40" s="32" t="str">
        <f t="shared" si="0"/>
        <v>CUMPLE</v>
      </c>
      <c r="U40" s="33">
        <f t="shared" ref="U40:AB40" si="7">+(U41*$G41)+(U42*$G42)</f>
        <v>10723549809.4</v>
      </c>
      <c r="V40" s="33">
        <f t="shared" si="7"/>
        <v>13997268629.400002</v>
      </c>
      <c r="W40" s="33">
        <f t="shared" si="7"/>
        <v>4457022755.3999996</v>
      </c>
      <c r="X40" s="33">
        <f t="shared" si="7"/>
        <v>6783593530</v>
      </c>
      <c r="Y40" s="33">
        <f t="shared" si="7"/>
        <v>7213675099.3999996</v>
      </c>
      <c r="Z40" s="33">
        <f t="shared" si="7"/>
        <v>1387951061.8000002</v>
      </c>
      <c r="AA40" s="33">
        <f t="shared" si="7"/>
        <v>252795765.40000001</v>
      </c>
      <c r="AB40" s="34">
        <f t="shared" si="7"/>
        <v>6266527054</v>
      </c>
      <c r="AC40" s="34"/>
      <c r="AD40" s="32" t="str">
        <f>IF(AB40&gt;=$AD$13,"CUMPLE","NO CUMPLE")</f>
        <v>CUMPLE</v>
      </c>
      <c r="AE40" s="75">
        <f>+MAX(AE41:AE42)</f>
        <v>9521205529</v>
      </c>
      <c r="AF40" s="32"/>
      <c r="AG40" s="32" t="str">
        <f>+IF(AE40&gt;=$AG$13,"CUMPLE","NO CUMPLE")</f>
        <v>CUMPLE</v>
      </c>
      <c r="AH40" s="32">
        <f>IF(E40="","",(IF(W40=0,"INDETERMINADO",+U40/W40)))</f>
        <v>2.4059894682852265</v>
      </c>
      <c r="AI40" s="32" t="str">
        <f>IF(OR(AH40="",AH40&lt;$AI$13),"NO CUMPLE","CUMPLE")</f>
        <v>CUMPLE</v>
      </c>
      <c r="AJ40" s="32">
        <f>IF(U41="","",+X40/V40)</f>
        <v>0.4846369466505539</v>
      </c>
      <c r="AK40" s="32" t="str">
        <f>IF(OR(AJ40="",AJ40&gt;$AK$13),"NO CUMPLE","CUMPLE")</f>
        <v>CUMPLE</v>
      </c>
      <c r="AL40" s="32">
        <f>IF(AA40=0,"INDET",(IF(U41="","",Z40/AA40)))</f>
        <v>5.4904047130846445</v>
      </c>
      <c r="AM40" s="32" t="str">
        <f>IF(OR(AL40="",AL40&lt;$AM$13),"NO CUMPLE","CUMPLE")</f>
        <v>CUMPLE</v>
      </c>
      <c r="AN40" s="32" t="str">
        <f>IF(AND(AG40="CUMPLE",AI40="CUMPLE",AK40="CUMPLE",AM40="CUMPLE",AD40="CUMPLE"),"CUMPLE","NO CUMPLE")</f>
        <v>CUMPLE</v>
      </c>
      <c r="AO40" s="35">
        <f>IF(U41="","",+Z40/Y40)</f>
        <v>0.19240554123590117</v>
      </c>
      <c r="AP40" s="36" t="str">
        <f>IF(OR(AO40="",AO40&lt;$AP$13),"NO CUMPLE","CUMPLE")</f>
        <v>CUMPLE</v>
      </c>
      <c r="AQ40" s="35">
        <f>IF(U41="","",+Z40/V40)</f>
        <v>9.915870721268677E-2</v>
      </c>
      <c r="AR40" s="36" t="str">
        <f>IF(OR(AQ40="",AQ40&lt;$AR$13),"NO CUMPLE","CUMPLE")</f>
        <v>CUMPLE</v>
      </c>
      <c r="AS40" s="36" t="str">
        <f>IF(U41="","",IF(AND(AP40="CUMPLE",AR40="CUMPLE"),"CUMPLE","NO CUMPLE"))</f>
        <v>CUMPLE</v>
      </c>
      <c r="AT40" s="36" t="s">
        <v>58</v>
      </c>
      <c r="AU40" s="32" t="str">
        <f>IF(U41="","",IF(AND(O40="CUMPLE",AS40="CUMPLE",AN40="CUMPLE",T40="CUMPLE",AT40="CUMPLE"),"CUMPLE","NO CUMPLE"))</f>
        <v>CUMPLE</v>
      </c>
      <c r="AV40" s="37"/>
      <c r="AW40" s="37"/>
    </row>
    <row r="41" spans="1:49" s="5" customFormat="1" ht="13" x14ac:dyDescent="0.2">
      <c r="D41" s="38">
        <f>+D40+0.1</f>
        <v>7.1</v>
      </c>
      <c r="E41" s="39" t="s">
        <v>110</v>
      </c>
      <c r="F41" s="40" t="s">
        <v>111</v>
      </c>
      <c r="G41" s="41">
        <v>0.6</v>
      </c>
      <c r="H41" s="42"/>
      <c r="I41" s="42"/>
      <c r="J41" s="42"/>
      <c r="K41" s="42"/>
      <c r="L41" s="42"/>
      <c r="M41" s="66"/>
      <c r="N41" s="42"/>
      <c r="O41" s="42"/>
      <c r="P41" s="43">
        <v>46080</v>
      </c>
      <c r="Q41" s="43">
        <v>45736</v>
      </c>
      <c r="R41" s="38" t="str">
        <f>IF((NETWORKDAYS(Q41,P41)-1)&gt;=10,"CUMPLE","NO CUMPLE")</f>
        <v>CUMPLE</v>
      </c>
      <c r="S41" s="38" t="str">
        <f>IF(('DATOS INICIALES'!$C$4-P41)&lt;30,"CUMPLE","NO CUMPLE")</f>
        <v>CUMPLE</v>
      </c>
      <c r="T41" s="38" t="str">
        <f t="shared" si="0"/>
        <v>CUMPLE</v>
      </c>
      <c r="U41" s="98">
        <v>8525638381</v>
      </c>
      <c r="V41" s="98">
        <v>12912030475</v>
      </c>
      <c r="W41" s="98">
        <v>4428896977</v>
      </c>
      <c r="X41" s="98">
        <v>6555227238</v>
      </c>
      <c r="Y41" s="98">
        <v>6356803237</v>
      </c>
      <c r="Z41" s="98">
        <v>956086279</v>
      </c>
      <c r="AA41" s="98">
        <v>47043341</v>
      </c>
      <c r="AB41" s="44">
        <f>+U41-W41</f>
        <v>4096741404</v>
      </c>
      <c r="AC41" s="48"/>
      <c r="AD41" s="47"/>
      <c r="AE41" s="67">
        <f>+U41-W41</f>
        <v>4096741404</v>
      </c>
      <c r="AF41" s="47"/>
      <c r="AG41" s="68"/>
      <c r="AH41" s="45"/>
      <c r="AI41" s="45"/>
      <c r="AJ41" s="45"/>
      <c r="AK41" s="45"/>
      <c r="AL41" s="45"/>
      <c r="AM41" s="45"/>
      <c r="AN41" s="46"/>
      <c r="AO41" s="47"/>
      <c r="AP41" s="47"/>
      <c r="AQ41" s="47"/>
      <c r="AR41" s="47"/>
      <c r="AS41" s="46"/>
      <c r="AT41" s="46"/>
      <c r="AU41" s="46"/>
      <c r="AV41" s="47"/>
      <c r="AW41" s="47"/>
    </row>
    <row r="42" spans="1:49" s="5" customFormat="1" ht="13" x14ac:dyDescent="0.2">
      <c r="D42" s="38">
        <f>+D41+0.1</f>
        <v>7.1999999999999993</v>
      </c>
      <c r="E42" s="39" t="s">
        <v>112</v>
      </c>
      <c r="F42" s="40" t="s">
        <v>113</v>
      </c>
      <c r="G42" s="41">
        <v>0.4</v>
      </c>
      <c r="H42" s="42"/>
      <c r="I42" s="42"/>
      <c r="J42" s="42"/>
      <c r="K42" s="42"/>
      <c r="L42" s="42"/>
      <c r="M42" s="66"/>
      <c r="N42" s="42"/>
      <c r="O42" s="42"/>
      <c r="P42" s="43">
        <v>46080</v>
      </c>
      <c r="Q42" s="43">
        <v>45748</v>
      </c>
      <c r="R42" s="38" t="str">
        <f>IF((NETWORKDAYS(Q42,P42)-1)&gt;=10,"CUMPLE","NO CUMPLE")</f>
        <v>CUMPLE</v>
      </c>
      <c r="S42" s="38" t="str">
        <f>IF(('DATOS INICIALES'!$C$4-P42)&lt;30,"CUMPLE","NO CUMPLE")</f>
        <v>CUMPLE</v>
      </c>
      <c r="T42" s="38" t="str">
        <f t="shared" si="0"/>
        <v>CUMPLE</v>
      </c>
      <c r="U42" s="98">
        <v>14020416952</v>
      </c>
      <c r="V42" s="98">
        <v>15625125861</v>
      </c>
      <c r="W42" s="98">
        <v>4499211423</v>
      </c>
      <c r="X42" s="98">
        <v>7126142968</v>
      </c>
      <c r="Y42" s="98">
        <v>8498982893</v>
      </c>
      <c r="Z42" s="98">
        <v>2035748236</v>
      </c>
      <c r="AA42" s="98">
        <v>561424402</v>
      </c>
      <c r="AB42" s="44">
        <f>+U42-W42</f>
        <v>9521205529</v>
      </c>
      <c r="AC42" s="48"/>
      <c r="AD42" s="47"/>
      <c r="AE42" s="67">
        <f>+U42-W42</f>
        <v>9521205529</v>
      </c>
      <c r="AF42" s="47"/>
      <c r="AG42" s="68"/>
      <c r="AH42" s="45"/>
      <c r="AI42" s="45"/>
      <c r="AJ42" s="45"/>
      <c r="AK42" s="45"/>
      <c r="AL42" s="45"/>
      <c r="AM42" s="45"/>
      <c r="AN42" s="46"/>
      <c r="AO42" s="47"/>
      <c r="AP42" s="47"/>
      <c r="AQ42" s="47"/>
      <c r="AR42" s="47"/>
      <c r="AS42" s="46"/>
      <c r="AT42" s="46"/>
      <c r="AU42" s="46"/>
      <c r="AV42" s="47"/>
      <c r="AW42" s="47"/>
    </row>
    <row r="43" spans="1:49" s="5" customFormat="1" ht="15" x14ac:dyDescent="0.2">
      <c r="A43" s="4"/>
      <c r="B43" s="4"/>
      <c r="C43" s="4"/>
      <c r="D43" s="62">
        <v>8</v>
      </c>
      <c r="E43" s="63" t="str">
        <f>IF(D43="","",VLOOKUP(D43,'DATOS INICIALES'!$B$10:$D$69,2,0))</f>
        <v>CONSORCIO INTERVENTOR DE OCCIDENTE</v>
      </c>
      <c r="F43" s="64">
        <f>IF(D43="","",VLOOKUP(D43,'DATOS INICIALES'!$B$10:$D$69,3,0))</f>
        <v>0</v>
      </c>
      <c r="G43" s="65">
        <f>SUM(G44:G46)</f>
        <v>1</v>
      </c>
      <c r="H43" s="64"/>
      <c r="I43" s="30" t="s">
        <v>55</v>
      </c>
      <c r="J43" s="30" t="str">
        <f>IF(I43="SI","CUMPLE", "NO CUMPLE")</f>
        <v>CUMPLE</v>
      </c>
      <c r="K43" s="30" t="s">
        <v>55</v>
      </c>
      <c r="L43" s="30" t="str">
        <f>IF(K43="SI","CUMPLE", "NO CUMPLE")</f>
        <v>CUMPLE</v>
      </c>
      <c r="M43" s="51">
        <f>+IFERROR(VLOOKUP(D43,'DATOS INICIALES'!$B$10:$G$100,6,0),0)</f>
        <v>69467719959.399994</v>
      </c>
      <c r="N43" s="30" t="str">
        <f>IF(M43&lt;='DATOS INICIALES'!$C$6,"CUMPLE","NO CUMPLE")</f>
        <v>CUMPLE</v>
      </c>
      <c r="O43" s="30" t="str">
        <f>IF(AND(J43="CUMPLE",L43="CUMPLE",N43="CUMPLE"),"CUMPLE","NO CUMPLE")</f>
        <v>CUMPLE</v>
      </c>
      <c r="P43" s="31"/>
      <c r="Q43" s="31"/>
      <c r="R43" s="32" t="str">
        <f>IF(AND(R44="CUMPLE",R45="CUMPLE",R46="CUMPLE"),"CUMPLE","NO CUMPLE")</f>
        <v>CUMPLE</v>
      </c>
      <c r="S43" s="32" t="str">
        <f>IF(AND(S44="CUMPLE",S45="CUMPLE",S46="CUMPLE"),"CUMPLE","NO CUMPLE")</f>
        <v>CUMPLE</v>
      </c>
      <c r="T43" s="32" t="str">
        <f t="shared" si="0"/>
        <v>CUMPLE</v>
      </c>
      <c r="U43" s="33">
        <f t="shared" ref="U43:AB43" si="8">+(U44*$G44)+(U45*$G45)+(U46*$G46)</f>
        <v>316455615368.90002</v>
      </c>
      <c r="V43" s="33">
        <f t="shared" si="8"/>
        <v>370454099912.20001</v>
      </c>
      <c r="W43" s="33">
        <f t="shared" si="8"/>
        <v>192827714540.20001</v>
      </c>
      <c r="X43" s="33">
        <f t="shared" si="8"/>
        <v>254410191630.60001</v>
      </c>
      <c r="Y43" s="33">
        <f t="shared" si="8"/>
        <v>116043908281.60001</v>
      </c>
      <c r="Z43" s="33">
        <f t="shared" si="8"/>
        <v>18818315157.299999</v>
      </c>
      <c r="AA43" s="33">
        <f t="shared" si="8"/>
        <v>5435009225.6000004</v>
      </c>
      <c r="AB43" s="34">
        <f t="shared" si="8"/>
        <v>123627900828.7</v>
      </c>
      <c r="AC43" s="34"/>
      <c r="AD43" s="32" t="str">
        <f>IF(AB43&gt;=$AD$13,"CUMPLE","NO CUMPLE")</f>
        <v>CUMPLE</v>
      </c>
      <c r="AE43" s="75">
        <f>+MAX(AE44:AE46)</f>
        <v>299207175962</v>
      </c>
      <c r="AF43" s="32"/>
      <c r="AG43" s="32" t="str">
        <f>+IF(AE43&gt;=$AG$13,"CUMPLE","NO CUMPLE")</f>
        <v>CUMPLE</v>
      </c>
      <c r="AH43" s="32">
        <f>IF(E43="","",(IF(W43=0,"INDETERMINADO",+U43/W43)))</f>
        <v>1.641131390907641</v>
      </c>
      <c r="AI43" s="32" t="str">
        <f>IF(OR(AH43="",AH43&lt;$AI$13),"NO CUMPLE","CUMPLE")</f>
        <v>CUMPLE</v>
      </c>
      <c r="AJ43" s="32">
        <f>IF(U44="","",+X43/V43)</f>
        <v>0.68675226348121632</v>
      </c>
      <c r="AK43" s="32" t="str">
        <f>IF(OR(AJ43="",AJ43&gt;$AK$13),"NO CUMPLE","CUMPLE")</f>
        <v>NO CUMPLE</v>
      </c>
      <c r="AL43" s="32">
        <f>IF(AA43=0,"INDET",(IF(U44="","",Z43/AA43)))</f>
        <v>3.4624256144151335</v>
      </c>
      <c r="AM43" s="32" t="str">
        <f>IF(OR(AL43="",AL43&lt;$AM$13),"NO CUMPLE","CUMPLE")</f>
        <v>CUMPLE</v>
      </c>
      <c r="AN43" s="32" t="str">
        <f>IF(AND(AG43="CUMPLE",AI43="CUMPLE",AK43="CUMPLE",AM43="CUMPLE",AD43="CUMPLE"),"CUMPLE","NO CUMPLE")</f>
        <v>NO CUMPLE</v>
      </c>
      <c r="AO43" s="35">
        <f>IF(U44="","",+Z43/Y43)</f>
        <v>0.16216547198353748</v>
      </c>
      <c r="AP43" s="36" t="str">
        <f>IF(OR(AO43="",AO43&lt;$AP$13),"NO CUMPLE","CUMPLE")</f>
        <v>CUMPLE</v>
      </c>
      <c r="AQ43" s="35">
        <f>IF(U44="","",+Z43/V43)</f>
        <v>5.0797967040343353E-2</v>
      </c>
      <c r="AR43" s="36" t="str">
        <f>IF(OR(AQ43="",AQ43&lt;$AR$13),"NO CUMPLE","CUMPLE")</f>
        <v>CUMPLE</v>
      </c>
      <c r="AS43" s="36" t="str">
        <f>IF(U44="","",IF(AND(AP43="CUMPLE",AR43="CUMPLE"),"CUMPLE","NO CUMPLE"))</f>
        <v>CUMPLE</v>
      </c>
      <c r="AT43" s="36" t="s">
        <v>58</v>
      </c>
      <c r="AU43" s="32" t="str">
        <f>IF(U44="","",IF(AND(O43="CUMPLE",AS43="CUMPLE",AN43="CUMPLE",T43="CUMPLE",AT43="CUMPLE"),"CUMPLE","NO CUMPLE"))</f>
        <v>NO CUMPLE</v>
      </c>
      <c r="AV43" s="101" t="s">
        <v>121</v>
      </c>
      <c r="AW43" s="37"/>
    </row>
    <row r="44" spans="1:49" s="5" customFormat="1" ht="13" x14ac:dyDescent="0.2">
      <c r="D44" s="38">
        <f>+D43+0.1</f>
        <v>8.1</v>
      </c>
      <c r="E44" s="39" t="s">
        <v>115</v>
      </c>
      <c r="F44" s="40" t="s">
        <v>116</v>
      </c>
      <c r="G44" s="41">
        <v>0.5</v>
      </c>
      <c r="H44" s="42"/>
      <c r="I44" s="42"/>
      <c r="J44" s="42"/>
      <c r="K44" s="42"/>
      <c r="L44" s="42"/>
      <c r="M44" s="66"/>
      <c r="N44" s="42"/>
      <c r="O44" s="42"/>
      <c r="P44" s="43">
        <v>46076</v>
      </c>
      <c r="Q44" s="43">
        <v>45783</v>
      </c>
      <c r="R44" s="38" t="str">
        <f>IF((NETWORKDAYS(Q44,P44)-1)&gt;=10,"CUMPLE","NO CUMPLE")</f>
        <v>CUMPLE</v>
      </c>
      <c r="S44" s="38" t="str">
        <f>IF(('DATOS INICIALES'!$C$4-P44)&lt;30,"CUMPLE","NO CUMPLE")</f>
        <v>CUMPLE</v>
      </c>
      <c r="T44" s="38" t="str">
        <f t="shared" si="0"/>
        <v>CUMPLE</v>
      </c>
      <c r="U44" s="98">
        <v>14580421000</v>
      </c>
      <c r="V44" s="98">
        <v>14758345000</v>
      </c>
      <c r="W44" s="98">
        <v>6884493000</v>
      </c>
      <c r="X44" s="98">
        <v>6898240000</v>
      </c>
      <c r="Y44" s="98">
        <v>7860105000</v>
      </c>
      <c r="Z44" s="98">
        <v>211060000</v>
      </c>
      <c r="AA44" s="98">
        <v>8289000</v>
      </c>
      <c r="AB44" s="44">
        <f>+U44-W44</f>
        <v>7695928000</v>
      </c>
      <c r="AC44" s="48"/>
      <c r="AD44" s="47"/>
      <c r="AE44" s="67">
        <f>+U44-W44</f>
        <v>7695928000</v>
      </c>
      <c r="AF44" s="47"/>
      <c r="AG44" s="68"/>
      <c r="AH44" s="45"/>
      <c r="AI44" s="45"/>
      <c r="AJ44" s="45"/>
      <c r="AK44" s="45"/>
      <c r="AL44" s="45"/>
      <c r="AM44" s="45"/>
      <c r="AN44" s="46"/>
      <c r="AO44" s="47"/>
      <c r="AP44" s="47"/>
      <c r="AQ44" s="47"/>
      <c r="AR44" s="47"/>
      <c r="AS44" s="46"/>
      <c r="AT44" s="46"/>
      <c r="AU44" s="46"/>
      <c r="AV44" s="47"/>
      <c r="AW44" s="47"/>
    </row>
    <row r="45" spans="1:49" s="5" customFormat="1" ht="13" x14ac:dyDescent="0.2">
      <c r="D45" s="38">
        <f>+D44+0.1</f>
        <v>8.1999999999999993</v>
      </c>
      <c r="E45" s="39" t="s">
        <v>117</v>
      </c>
      <c r="F45" s="40" t="s">
        <v>118</v>
      </c>
      <c r="G45" s="41">
        <v>0.4</v>
      </c>
      <c r="H45" s="42"/>
      <c r="I45" s="42"/>
      <c r="J45" s="42"/>
      <c r="K45" s="42"/>
      <c r="L45" s="42"/>
      <c r="M45" s="66"/>
      <c r="N45" s="42"/>
      <c r="O45" s="42"/>
      <c r="P45" s="43">
        <v>46086</v>
      </c>
      <c r="Q45" s="43">
        <v>45763</v>
      </c>
      <c r="R45" s="38" t="str">
        <f>IF((NETWORKDAYS(Q45,P45)-1)&gt;=10,"CUMPLE","NO CUMPLE")</f>
        <v>CUMPLE</v>
      </c>
      <c r="S45" s="38" t="str">
        <f>IF(('DATOS INICIALES'!$C$4-P45)&lt;30,"CUMPLE","NO CUMPLE")</f>
        <v>CUMPLE</v>
      </c>
      <c r="T45" s="38" t="str">
        <f t="shared" si="0"/>
        <v>CUMPLE</v>
      </c>
      <c r="U45" s="98">
        <v>772627705660</v>
      </c>
      <c r="V45" s="98">
        <v>906837127934</v>
      </c>
      <c r="W45" s="98">
        <v>473420529698</v>
      </c>
      <c r="X45" s="98">
        <v>627359538674</v>
      </c>
      <c r="Y45" s="98">
        <v>279477589260</v>
      </c>
      <c r="Z45" s="98">
        <v>46780986322</v>
      </c>
      <c r="AA45" s="98">
        <v>13577161814</v>
      </c>
      <c r="AB45" s="44">
        <f>+U45-W45</f>
        <v>299207175962</v>
      </c>
      <c r="AC45" s="48"/>
      <c r="AD45" s="47"/>
      <c r="AE45" s="67">
        <f>+U45-W45</f>
        <v>299207175962</v>
      </c>
      <c r="AF45" s="47"/>
      <c r="AG45" s="68"/>
      <c r="AH45" s="45"/>
      <c r="AI45" s="45"/>
      <c r="AJ45" s="45"/>
      <c r="AK45" s="45"/>
      <c r="AL45" s="45"/>
      <c r="AM45" s="45"/>
      <c r="AN45" s="46"/>
      <c r="AO45" s="47"/>
      <c r="AP45" s="47"/>
      <c r="AQ45" s="47"/>
      <c r="AR45" s="47"/>
      <c r="AS45" s="46"/>
      <c r="AT45" s="46"/>
      <c r="AU45" s="46"/>
      <c r="AV45" s="47"/>
      <c r="AW45" s="47"/>
    </row>
    <row r="46" spans="1:49" s="4" customFormat="1" x14ac:dyDescent="0.2">
      <c r="A46" s="5"/>
      <c r="B46" s="5"/>
      <c r="C46" s="5"/>
      <c r="D46" s="38">
        <f>+D45+0.1</f>
        <v>8.2999999999999989</v>
      </c>
      <c r="E46" s="39" t="s">
        <v>119</v>
      </c>
      <c r="F46" s="40" t="s">
        <v>120</v>
      </c>
      <c r="G46" s="41">
        <v>0.1</v>
      </c>
      <c r="H46" s="42"/>
      <c r="I46" s="42"/>
      <c r="J46" s="42"/>
      <c r="K46" s="42"/>
      <c r="L46" s="42"/>
      <c r="M46" s="66"/>
      <c r="N46" s="42"/>
      <c r="O46" s="42"/>
      <c r="P46" s="43">
        <v>46080</v>
      </c>
      <c r="Q46" s="43">
        <v>45763</v>
      </c>
      <c r="R46" s="38" t="str">
        <f>IF((NETWORKDAYS(Q46,P46)-1)&gt;=10,"CUMPLE","NO CUMPLE")</f>
        <v>CUMPLE</v>
      </c>
      <c r="S46" s="38" t="str">
        <f>IF(('DATOS INICIALES'!$C$4-P46)&lt;30,"CUMPLE","NO CUMPLE")</f>
        <v>CUMPLE</v>
      </c>
      <c r="T46" s="38" t="str">
        <f t="shared" si="0"/>
        <v>CUMPLE</v>
      </c>
      <c r="U46" s="98">
        <v>1143226049</v>
      </c>
      <c r="V46" s="98">
        <v>3400762386</v>
      </c>
      <c r="W46" s="98">
        <v>172561610</v>
      </c>
      <c r="X46" s="98">
        <v>172561610</v>
      </c>
      <c r="Y46" s="98">
        <v>3228200776</v>
      </c>
      <c r="Z46" s="98">
        <v>3906285</v>
      </c>
      <c r="AA46" s="47">
        <v>0</v>
      </c>
      <c r="AB46" s="44">
        <f>+U46-W46</f>
        <v>970664439</v>
      </c>
      <c r="AC46" s="48"/>
      <c r="AD46" s="47"/>
      <c r="AE46" s="67">
        <f>+U46-W46</f>
        <v>970664439</v>
      </c>
      <c r="AF46" s="47"/>
      <c r="AG46" s="68"/>
      <c r="AH46" s="45"/>
      <c r="AI46" s="45"/>
      <c r="AJ46" s="45"/>
      <c r="AK46" s="45"/>
      <c r="AL46" s="45"/>
      <c r="AM46" s="45"/>
      <c r="AN46" s="46"/>
      <c r="AO46" s="47"/>
      <c r="AP46" s="47"/>
      <c r="AQ46" s="47"/>
      <c r="AR46" s="47"/>
      <c r="AS46" s="46"/>
      <c r="AT46" s="46"/>
      <c r="AU46" s="46"/>
      <c r="AV46" s="47"/>
      <c r="AW46" s="47"/>
    </row>
    <row r="47" spans="1:49" s="5" customFormat="1" ht="15" x14ac:dyDescent="0.2">
      <c r="A47" s="4"/>
      <c r="B47" s="4"/>
      <c r="C47" s="4"/>
      <c r="D47" s="62">
        <v>9</v>
      </c>
      <c r="E47" s="63" t="str">
        <f>IF(D47="","",VLOOKUP(D47,'DATOS INICIALES'!$B$10:$D$69,2,0))</f>
        <v>CONSORCIO ALIANZA PACIFICO</v>
      </c>
      <c r="F47" s="64">
        <f>IF(D47="","",VLOOKUP(D47,'DATOS INICIALES'!$B$10:$D$69,3,0))</f>
        <v>0</v>
      </c>
      <c r="G47" s="65">
        <f>SUM(G48:G50)</f>
        <v>1</v>
      </c>
      <c r="H47" s="64"/>
      <c r="I47" s="30" t="s">
        <v>55</v>
      </c>
      <c r="J47" s="30" t="str">
        <f>IF(I47="SI","CUMPLE", "NO CUMPLE")</f>
        <v>CUMPLE</v>
      </c>
      <c r="K47" s="30" t="s">
        <v>55</v>
      </c>
      <c r="L47" s="30" t="str">
        <f>IF(K47="SI","CUMPLE", "NO CUMPLE")</f>
        <v>CUMPLE</v>
      </c>
      <c r="M47" s="51">
        <f>+IFERROR(VLOOKUP(D47,'DATOS INICIALES'!$B$10:$G$100,6,0),0)</f>
        <v>69477143896</v>
      </c>
      <c r="N47" s="30" t="str">
        <f>IF(M47&lt;='DATOS INICIALES'!$C$6,"CUMPLE","NO CUMPLE")</f>
        <v>CUMPLE</v>
      </c>
      <c r="O47" s="30" t="str">
        <f>IF(AND(J47="CUMPLE",L47="CUMPLE",N47="CUMPLE"),"CUMPLE","NO CUMPLE")</f>
        <v>CUMPLE</v>
      </c>
      <c r="P47" s="31"/>
      <c r="Q47" s="31"/>
      <c r="R47" s="32" t="str">
        <f>IF(AND(R48="CUMPLE",R49="CUMPLE",R50="CUMPLE"),"CUMPLE","NO CUMPLE")</f>
        <v>CUMPLE</v>
      </c>
      <c r="S47" s="32" t="str">
        <f>IF(AND(S48="CUMPLE",S49="CUMPLE",S50="CUMPLE"),"CUMPLE","NO CUMPLE")</f>
        <v>CUMPLE</v>
      </c>
      <c r="T47" s="32" t="str">
        <f t="shared" si="0"/>
        <v>CUMPLE</v>
      </c>
      <c r="U47" s="33">
        <f t="shared" ref="U47:AB47" si="9">+(U48*$G48)+(U49*$G49)+(U50*$G50)</f>
        <v>11168874620.25</v>
      </c>
      <c r="V47" s="33">
        <f t="shared" si="9"/>
        <v>11871983973</v>
      </c>
      <c r="W47" s="33">
        <f t="shared" si="9"/>
        <v>2781293244.6499996</v>
      </c>
      <c r="X47" s="33">
        <f t="shared" si="9"/>
        <v>7000037272.5249996</v>
      </c>
      <c r="Y47" s="33">
        <f t="shared" si="9"/>
        <v>4871946700.4749994</v>
      </c>
      <c r="Z47" s="33">
        <f t="shared" si="9"/>
        <v>776542885.92499995</v>
      </c>
      <c r="AA47" s="33">
        <f t="shared" si="9"/>
        <v>50072075.825000003</v>
      </c>
      <c r="AB47" s="34">
        <f t="shared" si="9"/>
        <v>8387581375.5999994</v>
      </c>
      <c r="AC47" s="34"/>
      <c r="AD47" s="32" t="str">
        <f>IF(AB47&gt;=$AD$13,"CUMPLE","NO CUMPLE")</f>
        <v>CUMPLE</v>
      </c>
      <c r="AE47" s="75">
        <f>+MAX(AE48:AE50)</f>
        <v>14526379413</v>
      </c>
      <c r="AF47" s="32"/>
      <c r="AG47" s="32" t="str">
        <f>+IF(AE47&gt;=$AG$13,"CUMPLE","NO CUMPLE")</f>
        <v>CUMPLE</v>
      </c>
      <c r="AH47" s="32">
        <f>IF(E47="","",(IF(W47=0,"INDETERMINADO",+U47/W47)))</f>
        <v>4.0157127054955692</v>
      </c>
      <c r="AI47" s="32" t="str">
        <f>IF(OR(AH47="",AH47&lt;$AI$13),"NO CUMPLE","CUMPLE")</f>
        <v>CUMPLE</v>
      </c>
      <c r="AJ47" s="32">
        <f>IF(U48="","",+X47/V47)</f>
        <v>0.58962657702747212</v>
      </c>
      <c r="AK47" s="32" t="str">
        <f>IF(OR(AJ47="",AJ47&gt;$AK$13),"NO CUMPLE","CUMPLE")</f>
        <v>CUMPLE</v>
      </c>
      <c r="AL47" s="32">
        <f>IF(AA47=0,"INDET",(IF(U48="","",Z47/AA47)))</f>
        <v>15.508501957038645</v>
      </c>
      <c r="AM47" s="32" t="str">
        <f>IF(OR(AL47="",AL47&lt;$AM$13),"NO CUMPLE","CUMPLE")</f>
        <v>CUMPLE</v>
      </c>
      <c r="AN47" s="32" t="str">
        <f>IF(AND(AG47="CUMPLE",AI47="CUMPLE",AK47="CUMPLE",AM47="CUMPLE",AD47="CUMPLE"),"CUMPLE","NO CUMPLE")</f>
        <v>CUMPLE</v>
      </c>
      <c r="AO47" s="35">
        <f>IF(U48="","",+Z47/Y47)</f>
        <v>0.15939067762159415</v>
      </c>
      <c r="AP47" s="36" t="str">
        <f>IF(OR(AO47="",AO47&lt;$AP$13),"NO CUMPLE","CUMPLE")</f>
        <v>CUMPLE</v>
      </c>
      <c r="AQ47" s="35">
        <f>IF(U48="","",+Z47/V47)</f>
        <v>6.5409697965484265E-2</v>
      </c>
      <c r="AR47" s="36" t="str">
        <f>IF(OR(AQ47="",AQ47&lt;$AR$13),"NO CUMPLE","CUMPLE")</f>
        <v>CUMPLE</v>
      </c>
      <c r="AS47" s="36" t="str">
        <f>IF(U48="","",IF(AND(AP47="CUMPLE",AR47="CUMPLE"),"CUMPLE","NO CUMPLE"))</f>
        <v>CUMPLE</v>
      </c>
      <c r="AT47" s="36" t="s">
        <v>58</v>
      </c>
      <c r="AU47" s="32" t="str">
        <f>IF(U48="","",IF(AND(O47="CUMPLE",AS47="CUMPLE",AN47="CUMPLE",T47="CUMPLE",AT47="CUMPLE"),"CUMPLE","NO CUMPLE"))</f>
        <v>CUMPLE</v>
      </c>
      <c r="AV47" s="37"/>
      <c r="AW47" s="37"/>
    </row>
    <row r="48" spans="1:49" s="5" customFormat="1" ht="13" x14ac:dyDescent="0.2">
      <c r="D48" s="38">
        <f>+D47+0.1</f>
        <v>9.1</v>
      </c>
      <c r="E48" s="39" t="s">
        <v>122</v>
      </c>
      <c r="F48" s="40" t="s">
        <v>125</v>
      </c>
      <c r="G48" s="102">
        <v>0.42499999999999999</v>
      </c>
      <c r="H48" s="42"/>
      <c r="I48" s="42"/>
      <c r="J48" s="42"/>
      <c r="K48" s="42"/>
      <c r="L48" s="42"/>
      <c r="M48" s="66"/>
      <c r="N48" s="42"/>
      <c r="O48" s="42"/>
      <c r="P48" s="43">
        <v>46081</v>
      </c>
      <c r="Q48" s="43">
        <v>45771</v>
      </c>
      <c r="R48" s="38" t="str">
        <f>IF((NETWORKDAYS(Q48,P48)-1)&gt;=10,"CUMPLE","NO CUMPLE")</f>
        <v>CUMPLE</v>
      </c>
      <c r="S48" s="38" t="str">
        <f>IF(('DATOS INICIALES'!$C$4-P48)&lt;30,"CUMPLE","NO CUMPLE")</f>
        <v>CUMPLE</v>
      </c>
      <c r="T48" s="38" t="str">
        <f t="shared" si="0"/>
        <v>CUMPLE</v>
      </c>
      <c r="U48" s="98">
        <v>20674490435</v>
      </c>
      <c r="V48" s="98">
        <v>20901975330</v>
      </c>
      <c r="W48" s="98">
        <v>6148111022</v>
      </c>
      <c r="X48" s="98">
        <v>14216503777</v>
      </c>
      <c r="Y48" s="98">
        <v>6685471553</v>
      </c>
      <c r="Z48" s="98">
        <v>57102844</v>
      </c>
      <c r="AA48" s="98">
        <v>53233060</v>
      </c>
      <c r="AB48" s="44">
        <f>+U48-W48</f>
        <v>14526379413</v>
      </c>
      <c r="AC48" s="48"/>
      <c r="AD48" s="47"/>
      <c r="AE48" s="67">
        <f>+U48-W48</f>
        <v>14526379413</v>
      </c>
      <c r="AF48" s="47"/>
      <c r="AG48" s="68"/>
      <c r="AH48" s="45"/>
      <c r="AI48" s="45"/>
      <c r="AJ48" s="45"/>
      <c r="AK48" s="45"/>
      <c r="AL48" s="45"/>
      <c r="AM48" s="45"/>
      <c r="AN48" s="46"/>
      <c r="AO48" s="47"/>
      <c r="AP48" s="47"/>
      <c r="AQ48" s="47"/>
      <c r="AR48" s="47"/>
      <c r="AS48" s="46"/>
      <c r="AT48" s="46"/>
      <c r="AU48" s="46"/>
      <c r="AV48" s="47"/>
      <c r="AW48" s="47"/>
    </row>
    <row r="49" spans="1:49" s="5" customFormat="1" ht="13" x14ac:dyDescent="0.2">
      <c r="D49" s="38">
        <f>+D48+0.1</f>
        <v>9.1999999999999993</v>
      </c>
      <c r="E49" s="39" t="s">
        <v>123</v>
      </c>
      <c r="F49" s="40" t="s">
        <v>126</v>
      </c>
      <c r="G49" s="102">
        <v>0.42499999999999999</v>
      </c>
      <c r="H49" s="42"/>
      <c r="I49" s="42"/>
      <c r="J49" s="42"/>
      <c r="K49" s="42"/>
      <c r="L49" s="42"/>
      <c r="M49" s="66"/>
      <c r="N49" s="42"/>
      <c r="O49" s="42"/>
      <c r="P49" s="43">
        <v>46072</v>
      </c>
      <c r="Q49" s="43">
        <v>45742</v>
      </c>
      <c r="R49" s="38" t="str">
        <f>IF((NETWORKDAYS(Q49,P49)-1)&gt;=10,"CUMPLE","NO CUMPLE")</f>
        <v>CUMPLE</v>
      </c>
      <c r="S49" s="38" t="str">
        <f>IF(('DATOS INICIALES'!$C$4-P49)&lt;30,"CUMPLE","NO CUMPLE")</f>
        <v>CUMPLE</v>
      </c>
      <c r="T49" s="38" t="str">
        <f t="shared" si="0"/>
        <v>CUMPLE</v>
      </c>
      <c r="U49" s="98">
        <v>4531764925</v>
      </c>
      <c r="V49" s="98">
        <v>5110883682</v>
      </c>
      <c r="W49" s="98">
        <v>184528964</v>
      </c>
      <c r="X49" s="98">
        <v>1529452342</v>
      </c>
      <c r="Y49" s="98">
        <v>3581431340</v>
      </c>
      <c r="Z49" s="98">
        <v>1542319479</v>
      </c>
      <c r="AA49" s="98">
        <v>58892379</v>
      </c>
      <c r="AB49" s="44">
        <f>+U49-W49</f>
        <v>4347235961</v>
      </c>
      <c r="AC49" s="48"/>
      <c r="AD49" s="47"/>
      <c r="AE49" s="67">
        <f>+U49-W49</f>
        <v>4347235961</v>
      </c>
      <c r="AF49" s="47"/>
      <c r="AG49" s="68"/>
      <c r="AH49" s="45"/>
      <c r="AI49" s="45"/>
      <c r="AJ49" s="45"/>
      <c r="AK49" s="45"/>
      <c r="AL49" s="45"/>
      <c r="AM49" s="45"/>
      <c r="AN49" s="46"/>
      <c r="AO49" s="47"/>
      <c r="AP49" s="47"/>
      <c r="AQ49" s="47"/>
      <c r="AR49" s="47"/>
      <c r="AS49" s="46"/>
      <c r="AT49" s="46"/>
      <c r="AU49" s="46"/>
      <c r="AV49" s="47"/>
      <c r="AW49" s="47"/>
    </row>
    <row r="50" spans="1:49" s="5" customFormat="1" ht="13" x14ac:dyDescent="0.2">
      <c r="D50" s="38">
        <f>+D49+0.1</f>
        <v>9.2999999999999989</v>
      </c>
      <c r="E50" s="39" t="s">
        <v>124</v>
      </c>
      <c r="F50" s="40" t="s">
        <v>127</v>
      </c>
      <c r="G50" s="41">
        <v>0.15</v>
      </c>
      <c r="H50" s="42"/>
      <c r="I50" s="42"/>
      <c r="J50" s="42"/>
      <c r="K50" s="42"/>
      <c r="L50" s="42"/>
      <c r="M50" s="66"/>
      <c r="N50" s="42"/>
      <c r="O50" s="42"/>
      <c r="P50" s="43">
        <v>46085</v>
      </c>
      <c r="Q50" s="43">
        <v>45777</v>
      </c>
      <c r="R50" s="38" t="str">
        <f>IF((NETWORKDAYS(Q50,P50)-1)&gt;=10,"CUMPLE","NO CUMPLE")</f>
        <v>CUMPLE</v>
      </c>
      <c r="S50" s="38" t="str">
        <f>IF(('DATOS INICIALES'!$C$4-P50)&lt;30,"CUMPLE","NO CUMPLE")</f>
        <v>CUMPLE</v>
      </c>
      <c r="T50" s="38" t="str">
        <f t="shared" si="0"/>
        <v>CUMPLE</v>
      </c>
      <c r="U50" s="98">
        <v>3041440615</v>
      </c>
      <c r="V50" s="98">
        <v>5443459286</v>
      </c>
      <c r="W50" s="98">
        <v>599475004</v>
      </c>
      <c r="X50" s="98">
        <v>2053372813</v>
      </c>
      <c r="Y50" s="98">
        <v>3390086473</v>
      </c>
      <c r="Z50" s="98">
        <v>645255991</v>
      </c>
      <c r="AA50" s="98">
        <v>16125095</v>
      </c>
      <c r="AB50" s="44">
        <f>+U50-W50</f>
        <v>2441965611</v>
      </c>
      <c r="AC50" s="48"/>
      <c r="AD50" s="47"/>
      <c r="AE50" s="67">
        <f>+U50-W50</f>
        <v>2441965611</v>
      </c>
      <c r="AF50" s="47"/>
      <c r="AG50" s="68"/>
      <c r="AH50" s="45"/>
      <c r="AI50" s="45"/>
      <c r="AJ50" s="45"/>
      <c r="AK50" s="45"/>
      <c r="AL50" s="45"/>
      <c r="AM50" s="45"/>
      <c r="AN50" s="46"/>
      <c r="AO50" s="47"/>
      <c r="AP50" s="47"/>
      <c r="AQ50" s="47"/>
      <c r="AR50" s="47"/>
      <c r="AS50" s="46"/>
      <c r="AT50" s="46"/>
      <c r="AU50" s="46"/>
      <c r="AV50" s="47"/>
      <c r="AW50" s="47"/>
    </row>
    <row r="51" spans="1:49" s="4" customFormat="1" ht="15" x14ac:dyDescent="0.2">
      <c r="D51" s="62">
        <v>10</v>
      </c>
      <c r="E51" s="63" t="str">
        <f>IF(D51="","",VLOOKUP(D51,'DATOS INICIALES'!$B$10:$D$69,2,0))</f>
        <v>CONSORCIO EPSILON CAUCA</v>
      </c>
      <c r="F51" s="64">
        <f>IF(D51="","",VLOOKUP(D51,'DATOS INICIALES'!$B$10:$D$69,3,0))</f>
        <v>0</v>
      </c>
      <c r="G51" s="65">
        <f>SUM(G52:G53)</f>
        <v>1</v>
      </c>
      <c r="H51" s="64"/>
      <c r="I51" s="30" t="s">
        <v>55</v>
      </c>
      <c r="J51" s="30" t="str">
        <f>IF(I51="SI","CUMPLE", "NO CUMPLE")</f>
        <v>CUMPLE</v>
      </c>
      <c r="K51" s="30" t="s">
        <v>55</v>
      </c>
      <c r="L51" s="30" t="str">
        <f>IF(K51="SI","CUMPLE", "NO CUMPLE")</f>
        <v>CUMPLE</v>
      </c>
      <c r="M51" s="51">
        <f>+IFERROR(VLOOKUP(D51,'DATOS INICIALES'!$B$10:$G$100,6,0),0)</f>
        <v>69477143896</v>
      </c>
      <c r="N51" s="30" t="str">
        <f>IF(M51&lt;='DATOS INICIALES'!$C$6,"CUMPLE","NO CUMPLE")</f>
        <v>CUMPLE</v>
      </c>
      <c r="O51" s="30" t="str">
        <f>IF(AND(J51="CUMPLE",L51="CUMPLE",N51="CUMPLE"),"CUMPLE","NO CUMPLE")</f>
        <v>CUMPLE</v>
      </c>
      <c r="P51" s="31"/>
      <c r="Q51" s="31"/>
      <c r="R51" s="32" t="str">
        <f>IF(AND(R52="CUMPLE",R53="CUMPLE"),"CUMPLE","NO CUMPLE")</f>
        <v>CUMPLE</v>
      </c>
      <c r="S51" s="32" t="str">
        <f>IF(AND(S52="CUMPLE",S53="CUMPLE"),"CUMPLE","NO CUMPLE")</f>
        <v>CUMPLE</v>
      </c>
      <c r="T51" s="32" t="str">
        <f t="shared" si="0"/>
        <v>CUMPLE</v>
      </c>
      <c r="U51" s="33">
        <f t="shared" ref="U51:AB51" si="10">+(U52*$G52)+(U53*$G53)</f>
        <v>8246608087.0999994</v>
      </c>
      <c r="V51" s="33">
        <f t="shared" si="10"/>
        <v>9037711076.8999996</v>
      </c>
      <c r="W51" s="33">
        <f t="shared" si="10"/>
        <v>2244200823.0999999</v>
      </c>
      <c r="X51" s="33">
        <f t="shared" si="10"/>
        <v>2532258214</v>
      </c>
      <c r="Y51" s="33">
        <f t="shared" si="10"/>
        <v>6505452862.8999996</v>
      </c>
      <c r="Z51" s="33">
        <f t="shared" si="10"/>
        <v>244632668.5</v>
      </c>
      <c r="AA51" s="33">
        <f t="shared" si="10"/>
        <v>11263782.1</v>
      </c>
      <c r="AB51" s="34">
        <f t="shared" si="10"/>
        <v>6002407264</v>
      </c>
      <c r="AC51" s="34"/>
      <c r="AD51" s="32" t="str">
        <f>IF(AB51&gt;=$AD$13,"CUMPLE","NO CUMPLE")</f>
        <v>CUMPLE</v>
      </c>
      <c r="AE51" s="75">
        <f>+MAX(AE52:AE53)</f>
        <v>7007788897</v>
      </c>
      <c r="AF51" s="32"/>
      <c r="AG51" s="32" t="str">
        <f>+IF(AE51&gt;=$AG$13,"CUMPLE","NO CUMPLE")</f>
        <v>CUMPLE</v>
      </c>
      <c r="AH51" s="32">
        <f>IF(E51="","",(IF(W51=0,"INDETERMINADO",+U51/W51)))</f>
        <v>3.6746301855948196</v>
      </c>
      <c r="AI51" s="32" t="str">
        <f>IF(OR(AH51="",AH51&lt;$AI$13),"NO CUMPLE","CUMPLE")</f>
        <v>CUMPLE</v>
      </c>
      <c r="AJ51" s="32">
        <f>IF(U52="","",+X51/V51)</f>
        <v>0.28018800252116299</v>
      </c>
      <c r="AK51" s="32" t="str">
        <f>IF(OR(AJ51="",AJ51&gt;$AK$13),"NO CUMPLE","CUMPLE")</f>
        <v>CUMPLE</v>
      </c>
      <c r="AL51" s="32">
        <f>IF(AA51=0,"INDET",(IF(U52="","",Z51/AA51)))</f>
        <v>21.718519261838349</v>
      </c>
      <c r="AM51" s="32" t="str">
        <f>IF(OR(AL51="",AL51&lt;$AM$13),"NO CUMPLE","CUMPLE")</f>
        <v>CUMPLE</v>
      </c>
      <c r="AN51" s="32" t="str">
        <f>IF(AND(AG51="CUMPLE",AI51="CUMPLE",AK51="CUMPLE",AM51="CUMPLE",AD51="CUMPLE"),"CUMPLE","NO CUMPLE")</f>
        <v>CUMPLE</v>
      </c>
      <c r="AO51" s="35">
        <f>IF(U52="","",+Z51/Y51)</f>
        <v>3.7604248874835086E-2</v>
      </c>
      <c r="AP51" s="36" t="str">
        <f>IF(OR(AO51="",AO51&lt;$AP$13),"NO CUMPLE","CUMPLE")</f>
        <v>CUMPLE</v>
      </c>
      <c r="AQ51" s="35">
        <f>IF(U52="","",+Z51/V51)</f>
        <v>2.7067989496286353E-2</v>
      </c>
      <c r="AR51" s="36" t="str">
        <f>IF(OR(AQ51="",AQ51&lt;$AR$13),"NO CUMPLE","CUMPLE")</f>
        <v>CUMPLE</v>
      </c>
      <c r="AS51" s="36" t="str">
        <f>IF(U52="","",IF(AND(AP51="CUMPLE",AR51="CUMPLE"),"CUMPLE","NO CUMPLE"))</f>
        <v>CUMPLE</v>
      </c>
      <c r="AT51" s="36" t="s">
        <v>58</v>
      </c>
      <c r="AU51" s="32" t="str">
        <f>IF(U52="","",IF(AND(O51="CUMPLE",AS51="CUMPLE",AN51="CUMPLE",T51="CUMPLE",AT51="CUMPLE"),"CUMPLE","NO CUMPLE"))</f>
        <v>CUMPLE</v>
      </c>
      <c r="AV51" s="37"/>
      <c r="AW51" s="37"/>
    </row>
    <row r="52" spans="1:49" s="5" customFormat="1" ht="13" x14ac:dyDescent="0.2">
      <c r="D52" s="38">
        <f>+D51+0.1</f>
        <v>10.1</v>
      </c>
      <c r="E52" s="39" t="s">
        <v>128</v>
      </c>
      <c r="F52" s="40" t="s">
        <v>130</v>
      </c>
      <c r="G52" s="41">
        <v>0.7</v>
      </c>
      <c r="H52" s="42"/>
      <c r="I52" s="42"/>
      <c r="J52" s="42"/>
      <c r="K52" s="42"/>
      <c r="L52" s="42"/>
      <c r="M52" s="66"/>
      <c r="N52" s="42"/>
      <c r="O52" s="42"/>
      <c r="P52" s="43">
        <v>46080</v>
      </c>
      <c r="Q52" s="43">
        <v>38466</v>
      </c>
      <c r="R52" s="38" t="str">
        <f>IF((NETWORKDAYS(Q52,P52)-1)&gt;=10,"CUMPLE","NO CUMPLE")</f>
        <v>CUMPLE</v>
      </c>
      <c r="S52" s="38" t="str">
        <f>IF(('DATOS INICIALES'!$C$4-P52)&lt;30,"CUMPLE","NO CUMPLE")</f>
        <v>CUMPLE</v>
      </c>
      <c r="T52" s="38" t="str">
        <f t="shared" si="0"/>
        <v>CUMPLE</v>
      </c>
      <c r="U52" s="98">
        <v>10044940142</v>
      </c>
      <c r="V52" s="98">
        <v>10821204074</v>
      </c>
      <c r="W52" s="98">
        <v>3037151245</v>
      </c>
      <c r="X52" s="98">
        <v>3037151245</v>
      </c>
      <c r="Y52" s="98">
        <v>7784052829</v>
      </c>
      <c r="Z52" s="98">
        <v>278562913</v>
      </c>
      <c r="AA52" s="98">
        <v>16066720</v>
      </c>
      <c r="AB52" s="44">
        <f>+U52-W52</f>
        <v>7007788897</v>
      </c>
      <c r="AC52" s="48"/>
      <c r="AD52" s="47"/>
      <c r="AE52" s="67">
        <f>+U52-W52</f>
        <v>7007788897</v>
      </c>
      <c r="AF52" s="47"/>
      <c r="AG52" s="68"/>
      <c r="AH52" s="45"/>
      <c r="AI52" s="45"/>
      <c r="AJ52" s="45"/>
      <c r="AK52" s="45"/>
      <c r="AL52" s="45"/>
      <c r="AM52" s="45"/>
      <c r="AN52" s="46"/>
      <c r="AO52" s="47"/>
      <c r="AP52" s="47"/>
      <c r="AQ52" s="47"/>
      <c r="AR52" s="47"/>
      <c r="AS52" s="46"/>
      <c r="AT52" s="46"/>
      <c r="AU52" s="46"/>
      <c r="AV52" s="47"/>
      <c r="AW52" s="47"/>
    </row>
    <row r="53" spans="1:49" s="4" customFormat="1" x14ac:dyDescent="0.2">
      <c r="A53" s="5"/>
      <c r="B53" s="5"/>
      <c r="C53" s="5"/>
      <c r="D53" s="38">
        <f>+D52+0.1</f>
        <v>10.199999999999999</v>
      </c>
      <c r="E53" s="39" t="s">
        <v>129</v>
      </c>
      <c r="F53" s="40" t="s">
        <v>131</v>
      </c>
      <c r="G53" s="41">
        <v>0.3</v>
      </c>
      <c r="H53" s="42"/>
      <c r="I53" s="42"/>
      <c r="J53" s="42"/>
      <c r="K53" s="42"/>
      <c r="L53" s="42"/>
      <c r="M53" s="66"/>
      <c r="N53" s="42"/>
      <c r="O53" s="42"/>
      <c r="P53" s="43">
        <v>46079</v>
      </c>
      <c r="Q53" s="43">
        <v>45826</v>
      </c>
      <c r="R53" s="38" t="str">
        <f>IF((NETWORKDAYS(Q53,P53)-1)&gt;=10,"CUMPLE","NO CUMPLE")</f>
        <v>CUMPLE</v>
      </c>
      <c r="S53" s="38" t="str">
        <f>IF(('DATOS INICIALES'!$C$4-P53)&lt;30,"CUMPLE","NO CUMPLE")</f>
        <v>CUMPLE</v>
      </c>
      <c r="T53" s="38" t="str">
        <f t="shared" si="0"/>
        <v>CUMPLE</v>
      </c>
      <c r="U53" s="98">
        <v>4050499959</v>
      </c>
      <c r="V53" s="98">
        <v>4876227417</v>
      </c>
      <c r="W53" s="98">
        <v>393983172</v>
      </c>
      <c r="X53" s="98">
        <v>1354174475</v>
      </c>
      <c r="Y53" s="98">
        <v>3522052942</v>
      </c>
      <c r="Z53" s="98">
        <v>165462098</v>
      </c>
      <c r="AA53" s="98">
        <v>56927</v>
      </c>
      <c r="AB53" s="44">
        <f>+U53-W53</f>
        <v>3656516787</v>
      </c>
      <c r="AC53" s="48"/>
      <c r="AD53" s="47"/>
      <c r="AE53" s="67">
        <f>+U53-W53</f>
        <v>3656516787</v>
      </c>
      <c r="AF53" s="47"/>
      <c r="AG53" s="68"/>
      <c r="AH53" s="45"/>
      <c r="AI53" s="45"/>
      <c r="AJ53" s="45"/>
      <c r="AK53" s="45"/>
      <c r="AL53" s="45"/>
      <c r="AM53" s="45"/>
      <c r="AN53" s="46"/>
      <c r="AO53" s="47"/>
      <c r="AP53" s="47"/>
      <c r="AQ53" s="47"/>
      <c r="AR53" s="47"/>
      <c r="AS53" s="46"/>
      <c r="AT53" s="46"/>
      <c r="AU53" s="46"/>
      <c r="AV53" s="47"/>
      <c r="AW53" s="47"/>
    </row>
    <row r="54" spans="1:49" ht="15" x14ac:dyDescent="0.15">
      <c r="D54" s="62">
        <v>11</v>
      </c>
      <c r="E54" s="63" t="str">
        <f>IF(D54="","",VLOOKUP(D54,'[1]DATOS INICIALES'!$B$10:$D$69,2,0))</f>
        <v>CONSORCIO ESTANQUILLO POPAYÁN SU</v>
      </c>
      <c r="F54" s="64">
        <f>IF(D54="","",VLOOKUP(D54,'[1]DATOS INICIALES'!$B$10:$D$69,3,0))</f>
        <v>0</v>
      </c>
      <c r="G54" s="65">
        <f>SUM(G55:G56)</f>
        <v>1</v>
      </c>
      <c r="H54" s="64"/>
      <c r="I54" s="30" t="s">
        <v>55</v>
      </c>
      <c r="J54" s="30" t="str">
        <f>IF(I54="SI","CUMPLE", "NO CUMPLE")</f>
        <v>CUMPLE</v>
      </c>
      <c r="K54" s="30" t="s">
        <v>55</v>
      </c>
      <c r="L54" s="30" t="str">
        <f>IF(K54="SI","CUMPLE", "NO CUMPLE")</f>
        <v>CUMPLE</v>
      </c>
      <c r="M54" s="51">
        <f>+IFERROR(VLOOKUP(D54,'[1]DATOS INICIALES'!$B$10:$G$100,6,0),0)</f>
        <v>69477143600</v>
      </c>
      <c r="N54" s="30" t="str">
        <f>IF(M54&lt;='[1]DATOS INICIALES'!$C$6,"CUMPLE","NO CUMPLE")</f>
        <v>CUMPLE</v>
      </c>
      <c r="O54" s="30" t="str">
        <f>IF(AND(J54="CUMPLE",L54="CUMPLE",N54="CUMPLE"),"CUMPLE","NO CUMPLE")</f>
        <v>CUMPLE</v>
      </c>
      <c r="P54" s="31"/>
      <c r="Q54" s="31"/>
      <c r="R54" s="32" t="str">
        <f>IF(AND(R55="CUMPLE",R56="CUMPLE"),"CUMPLE","NO CUMPLE")</f>
        <v>CUMPLE</v>
      </c>
      <c r="S54" s="32" t="str">
        <f>IF(AND(S55="CUMPLE",S56="CUMPLE"),"CUMPLE","NO CUMPLE")</f>
        <v>CUMPLE</v>
      </c>
      <c r="T54" s="32" t="str">
        <f t="shared" si="0"/>
        <v>CUMPLE</v>
      </c>
      <c r="U54" s="33">
        <f t="shared" ref="U54:AB54" si="11">+(U55*$G55)+(U56*$G56)</f>
        <v>8922838949.5</v>
      </c>
      <c r="V54" s="33">
        <f t="shared" si="11"/>
        <v>9580348462.5</v>
      </c>
      <c r="W54" s="33">
        <f t="shared" si="11"/>
        <v>2459385486</v>
      </c>
      <c r="X54" s="33">
        <f t="shared" si="11"/>
        <v>2460134870</v>
      </c>
      <c r="Y54" s="33">
        <f t="shared" si="11"/>
        <v>7120213592.5</v>
      </c>
      <c r="Z54" s="33">
        <f t="shared" si="11"/>
        <v>1001385337</v>
      </c>
      <c r="AA54" s="33">
        <f t="shared" si="11"/>
        <v>2541903.5</v>
      </c>
      <c r="AB54" s="34">
        <f t="shared" si="11"/>
        <v>6463453463.5</v>
      </c>
      <c r="AC54" s="34"/>
      <c r="AD54" s="32" t="str">
        <f>IF(AB54&gt;=$AD$13,"CUMPLE","NO CUMPLE")</f>
        <v>CUMPLE</v>
      </c>
      <c r="AE54" s="75">
        <f>+MAX(AE55:AE56)</f>
        <v>12925906927</v>
      </c>
      <c r="AF54" s="32"/>
      <c r="AG54" s="32" t="str">
        <f>+IF(AE54&gt;=$AG$13,"CUMPLE","NO CUMPLE")</f>
        <v>CUMPLE</v>
      </c>
      <c r="AH54" s="32">
        <f>IF(E54="","",(IF(W54=0,"INDETERMINADO",+U54/W54)))</f>
        <v>3.6280766070602075</v>
      </c>
      <c r="AI54" s="32" t="str">
        <f>IF(OR(AH54="",AH54&lt;$AI$13),"NO CUMPLE","CUMPLE")</f>
        <v>CUMPLE</v>
      </c>
      <c r="AJ54" s="32">
        <f>IF(U55="","",+X54/V54)</f>
        <v>0.25678970651533334</v>
      </c>
      <c r="AK54" s="32" t="str">
        <f>IF(OR(AJ54="",AJ54&gt;$AK$13),"NO CUMPLE","CUMPLE")</f>
        <v>CUMPLE</v>
      </c>
      <c r="AL54" s="32">
        <f>IF(AA54=0,"INDET",(IF(U55="","",Z54/AA54)))</f>
        <v>393.9509650936788</v>
      </c>
      <c r="AM54" s="32" t="str">
        <f>IF(OR(AL54="",AL54&lt;$AM$13),"NO CUMPLE","CUMPLE")</f>
        <v>CUMPLE</v>
      </c>
      <c r="AN54" s="32" t="str">
        <f>IF(AND(AG54="CUMPLE",AI54="CUMPLE",AK54="CUMPLE",AM54="CUMPLE",AD54="CUMPLE"),"CUMPLE","NO CUMPLE")</f>
        <v>CUMPLE</v>
      </c>
      <c r="AO54" s="35">
        <f>IF(U55="","",+Z54/Y54)</f>
        <v>0.14063978896009502</v>
      </c>
      <c r="AP54" s="36" t="str">
        <f>IF(OR(AO54="",AO54&lt;$AP$13),"NO CUMPLE","CUMPLE")</f>
        <v>CUMPLE</v>
      </c>
      <c r="AQ54" s="35">
        <f>IF(U55="","",+Z54/V54)</f>
        <v>0.1045249388286538</v>
      </c>
      <c r="AR54" s="36" t="str">
        <f>IF(OR(AQ54="",AQ54&lt;$AR$13),"NO CUMPLE","CUMPLE")</f>
        <v>CUMPLE</v>
      </c>
      <c r="AS54" s="36" t="str">
        <f>IF(U55="","",IF(AND(AP54="CUMPLE",AR54="CUMPLE"),"CUMPLE","NO CUMPLE"))</f>
        <v>CUMPLE</v>
      </c>
      <c r="AT54" s="36" t="s">
        <v>58</v>
      </c>
      <c r="AU54" s="32" t="str">
        <f>IF(U55="","",IF(AND(O54="CUMPLE",AS54="CUMPLE",AN54="CUMPLE",T54="CUMPLE",AT54="CUMPLE"),"CUMPLE","NO CUMPLE"))</f>
        <v>CUMPLE</v>
      </c>
      <c r="AV54" s="37"/>
      <c r="AW54" s="37"/>
    </row>
    <row r="55" spans="1:49" x14ac:dyDescent="0.15">
      <c r="D55" s="38">
        <f>+D54+0.1</f>
        <v>11.1</v>
      </c>
      <c r="E55" s="39" t="s">
        <v>143</v>
      </c>
      <c r="F55" s="140">
        <v>800252997</v>
      </c>
      <c r="G55" s="41">
        <v>0.5</v>
      </c>
      <c r="H55" s="42"/>
      <c r="I55" s="42"/>
      <c r="J55" s="42"/>
      <c r="K55" s="42"/>
      <c r="L55" s="42"/>
      <c r="M55" s="66"/>
      <c r="N55" s="42"/>
      <c r="O55" s="42"/>
      <c r="P55" s="43">
        <v>46072</v>
      </c>
      <c r="Q55" s="43">
        <v>45744</v>
      </c>
      <c r="R55" s="38" t="str">
        <f>IF((NETWORKDAYS(Q55,P55)-1)&gt;=10,"CUMPLE","NO CUMPLE")</f>
        <v>CUMPLE</v>
      </c>
      <c r="S55" s="38" t="str">
        <f>IF(('[1]DATOS INICIALES'!$C$4-P55)&lt;30,"CUMPLE","NO CUMPLE")</f>
        <v>CUMPLE</v>
      </c>
      <c r="T55" s="38" t="str">
        <f t="shared" si="0"/>
        <v>CUMPLE</v>
      </c>
      <c r="U55" s="44">
        <v>17844677899</v>
      </c>
      <c r="V55" s="44">
        <v>19159696925</v>
      </c>
      <c r="W55" s="44">
        <v>4918770972</v>
      </c>
      <c r="X55" s="44">
        <v>4920269740</v>
      </c>
      <c r="Y55" s="44">
        <v>14239427185</v>
      </c>
      <c r="Z55" s="44">
        <v>2002770674</v>
      </c>
      <c r="AA55" s="44">
        <v>5083807</v>
      </c>
      <c r="AB55" s="44">
        <f>+U55-W55</f>
        <v>12925906927</v>
      </c>
      <c r="AC55" s="48"/>
      <c r="AD55" s="47"/>
      <c r="AE55" s="67">
        <f>+U55-W55</f>
        <v>12925906927</v>
      </c>
      <c r="AF55" s="47"/>
      <c r="AG55" s="68"/>
      <c r="AH55" s="45"/>
      <c r="AI55" s="45"/>
      <c r="AJ55" s="45"/>
      <c r="AK55" s="45"/>
      <c r="AL55" s="45"/>
      <c r="AM55" s="45"/>
      <c r="AN55" s="46"/>
      <c r="AO55" s="47"/>
      <c r="AP55" s="47"/>
      <c r="AQ55" s="47"/>
      <c r="AR55" s="47"/>
      <c r="AS55" s="46"/>
      <c r="AT55" s="46"/>
      <c r="AU55" s="46"/>
      <c r="AV55" s="47"/>
      <c r="AW55" s="47"/>
    </row>
    <row r="56" spans="1:49" x14ac:dyDescent="0.15">
      <c r="D56" s="38">
        <f>+D55+0.1</f>
        <v>11.2</v>
      </c>
      <c r="E56" s="39" t="s">
        <v>144</v>
      </c>
      <c r="F56" s="140">
        <v>901932941</v>
      </c>
      <c r="G56" s="41">
        <v>0.5</v>
      </c>
      <c r="H56" s="42"/>
      <c r="I56" s="42"/>
      <c r="J56" s="42"/>
      <c r="K56" s="42"/>
      <c r="L56" s="42"/>
      <c r="M56" s="66"/>
      <c r="N56" s="42"/>
      <c r="O56" s="42"/>
      <c r="P56" s="43">
        <v>46077</v>
      </c>
      <c r="Q56" s="43">
        <v>45821</v>
      </c>
      <c r="R56" s="38" t="str">
        <f>IF((NETWORKDAYS(Q56,P56)-1)&gt;=10,"CUMPLE","NO CUMPLE")</f>
        <v>CUMPLE</v>
      </c>
      <c r="S56" s="38" t="str">
        <f>IF(('[1]DATOS INICIALES'!$C$4-P56)&lt;30,"CUMPLE","NO CUMPLE")</f>
        <v>CUMPLE</v>
      </c>
      <c r="T56" s="38" t="str">
        <f t="shared" si="0"/>
        <v>CUMPLE</v>
      </c>
      <c r="U56" s="44">
        <v>1000000</v>
      </c>
      <c r="V56" s="44">
        <v>1000000</v>
      </c>
      <c r="W56" s="44">
        <v>0</v>
      </c>
      <c r="X56" s="44">
        <v>0</v>
      </c>
      <c r="Y56" s="44">
        <v>1000000</v>
      </c>
      <c r="Z56" s="44">
        <v>0</v>
      </c>
      <c r="AA56" s="44">
        <v>0</v>
      </c>
      <c r="AB56" s="44">
        <f>+U56-W56</f>
        <v>1000000</v>
      </c>
      <c r="AC56" s="48"/>
      <c r="AD56" s="47"/>
      <c r="AE56" s="67">
        <f>+U56-W56</f>
        <v>1000000</v>
      </c>
      <c r="AF56" s="47"/>
      <c r="AG56" s="68"/>
      <c r="AH56" s="45"/>
      <c r="AI56" s="45"/>
      <c r="AJ56" s="45"/>
      <c r="AK56" s="45"/>
      <c r="AL56" s="45"/>
      <c r="AM56" s="45"/>
      <c r="AN56" s="46"/>
      <c r="AO56" s="47"/>
      <c r="AP56" s="47"/>
      <c r="AQ56" s="47"/>
      <c r="AR56" s="47"/>
      <c r="AS56" s="46"/>
      <c r="AT56" s="46"/>
      <c r="AU56" s="46"/>
      <c r="AV56" s="47"/>
      <c r="AW56" s="47"/>
    </row>
    <row r="57" spans="1:49" ht="15" x14ac:dyDescent="0.15">
      <c r="D57" s="62">
        <v>12</v>
      </c>
      <c r="E57" s="63" t="str">
        <f>IF(D57="","",VLOOKUP(D57,'[1]DATOS INICIALES'!$B$10:$D$69,2,0))</f>
        <v>CONSORCIO ESTANQUILLO CLA</v>
      </c>
      <c r="F57" s="64">
        <f>IF(D57="","",VLOOKUP(D57,'[1]DATOS INICIALES'!$B$10:$D$69,3,0))</f>
        <v>0</v>
      </c>
      <c r="G57" s="65">
        <f>SUM(G58:G60)</f>
        <v>1</v>
      </c>
      <c r="H57" s="64"/>
      <c r="I57" s="30" t="s">
        <v>55</v>
      </c>
      <c r="J57" s="30" t="str">
        <f>IF(I57="SI","CUMPLE", "NO CUMPLE")</f>
        <v>CUMPLE</v>
      </c>
      <c r="K57" s="30" t="s">
        <v>55</v>
      </c>
      <c r="L57" s="30" t="str">
        <f>IF(K57="SI","CUMPLE", "NO CUMPLE")</f>
        <v>CUMPLE</v>
      </c>
      <c r="M57" s="51">
        <f>+IFERROR(VLOOKUP(D57,'[1]DATOS INICIALES'!$B$10:$G$100,6,0),0)</f>
        <v>69477143896</v>
      </c>
      <c r="N57" s="30" t="str">
        <f>IF(M57&lt;='[1]DATOS INICIALES'!$C$6,"CUMPLE","NO CUMPLE")</f>
        <v>CUMPLE</v>
      </c>
      <c r="O57" s="30" t="str">
        <f>IF(AND(J57="CUMPLE",L57="CUMPLE",N57="CUMPLE"),"CUMPLE","NO CUMPLE")</f>
        <v>CUMPLE</v>
      </c>
      <c r="P57" s="31"/>
      <c r="Q57" s="31"/>
      <c r="R57" s="32" t="str">
        <f>IF(AND(R58="CUMPLE",R59="CUMPLE",R60="CUMPLE"),"CUMPLE","NO CUMPLE")</f>
        <v>CUMPLE</v>
      </c>
      <c r="S57" s="32" t="str">
        <f>IF(AND(S58="CUMPLE",S59="CUMPLE",S60="CUMPLE"),"CUMPLE","NO CUMPLE")</f>
        <v>CUMPLE</v>
      </c>
      <c r="T57" s="32" t="str">
        <f t="shared" si="0"/>
        <v>CUMPLE</v>
      </c>
      <c r="U57" s="33">
        <f t="shared" ref="U57:AB57" si="12">+(U58*$G58)+(U59*$G59)+(U60*$G60)</f>
        <v>7541968148.9299994</v>
      </c>
      <c r="V57" s="33">
        <f t="shared" si="12"/>
        <v>8053340844.2800007</v>
      </c>
      <c r="W57" s="33">
        <f t="shared" si="12"/>
        <v>1765034688.9399998</v>
      </c>
      <c r="X57" s="33">
        <f t="shared" si="12"/>
        <v>1990580045.3999999</v>
      </c>
      <c r="Y57" s="33">
        <f t="shared" si="12"/>
        <v>6062760798.8800001</v>
      </c>
      <c r="Z57" s="33">
        <f t="shared" si="12"/>
        <v>1129962548.21</v>
      </c>
      <c r="AA57" s="33">
        <f t="shared" si="12"/>
        <v>0</v>
      </c>
      <c r="AB57" s="34">
        <f t="shared" si="12"/>
        <v>5776933459.9899998</v>
      </c>
      <c r="AC57" s="34"/>
      <c r="AD57" s="32" t="str">
        <f>IF(AB57&gt;=$AD$13,"CUMPLE","NO CUMPLE")</f>
        <v>CUMPLE</v>
      </c>
      <c r="AE57" s="75">
        <f>+MAX(AE58:AE60)</f>
        <v>11776417889</v>
      </c>
      <c r="AF57" s="32"/>
      <c r="AG57" s="32" t="str">
        <f>+IF(AE57&gt;=$AG$13,"CUMPLE","NO CUMPLE")</f>
        <v>CUMPLE</v>
      </c>
      <c r="AH57" s="32">
        <f>IF(E57="","",(IF(W57=0,"INDETERMINADO",+U57/W57)))</f>
        <v>4.2729857923978622</v>
      </c>
      <c r="AI57" s="32" t="str">
        <f>IF(OR(AH57="",AH57&lt;$AI$13),"NO CUMPLE","CUMPLE")</f>
        <v>CUMPLE</v>
      </c>
      <c r="AJ57" s="32">
        <f>IF(U58="","",+X57/V57)</f>
        <v>0.24717444398418048</v>
      </c>
      <c r="AK57" s="32" t="str">
        <f>IF(OR(AJ57="",AJ57&gt;$AK$13),"NO CUMPLE","CUMPLE")</f>
        <v>CUMPLE</v>
      </c>
      <c r="AL57" s="32" t="str">
        <f>IF(AA57=0,"INDET",(IF(U58="","",Z57/AA57)))</f>
        <v>INDET</v>
      </c>
      <c r="AM57" s="32" t="str">
        <f>IF(OR(AL57="",AL57&lt;$AM$13),"NO CUMPLE","CUMPLE")</f>
        <v>CUMPLE</v>
      </c>
      <c r="AN57" s="32" t="str">
        <f>IF(AND(AG57="CUMPLE",AI57="CUMPLE",AK57="CUMPLE",AM57="CUMPLE",AD57="CUMPLE"),"CUMPLE","NO CUMPLE")</f>
        <v>CUMPLE</v>
      </c>
      <c r="AO57" s="35">
        <f>IF(U58="","",+Z57/Y57)</f>
        <v>0.1863775573033894</v>
      </c>
      <c r="AP57" s="36" t="str">
        <f>IF(OR(AO57="",AO57&lt;$AP$13),"NO CUMPLE","CUMPLE")</f>
        <v>CUMPLE</v>
      </c>
      <c r="AQ57" s="35">
        <f>IF(U58="","",+Z57/V57)</f>
        <v>0.14030978820579437</v>
      </c>
      <c r="AR57" s="36" t="str">
        <f>IF(OR(AQ57="",AQ57&lt;$AR$13),"NO CUMPLE","CUMPLE")</f>
        <v>CUMPLE</v>
      </c>
      <c r="AS57" s="36" t="str">
        <f>IF(U58="","",IF(AND(AP57="CUMPLE",AR57="CUMPLE"),"CUMPLE","NO CUMPLE"))</f>
        <v>CUMPLE</v>
      </c>
      <c r="AT57" s="36" t="s">
        <v>58</v>
      </c>
      <c r="AU57" s="32" t="str">
        <f>IF(U58="","",IF(AND(O57="CUMPLE",AS57="CUMPLE",AN57="CUMPLE",T57="CUMPLE",AT57="CUMPLE"),"CUMPLE","NO CUMPLE"))</f>
        <v>CUMPLE</v>
      </c>
      <c r="AV57" s="37"/>
      <c r="AW57" s="37"/>
    </row>
    <row r="58" spans="1:49" x14ac:dyDescent="0.15">
      <c r="D58" s="38">
        <f>+D57+0.1</f>
        <v>12.1</v>
      </c>
      <c r="E58" s="39" t="s">
        <v>145</v>
      </c>
      <c r="F58" s="40"/>
      <c r="G58" s="41">
        <v>0.32</v>
      </c>
      <c r="H58" s="42"/>
      <c r="I58" s="42"/>
      <c r="J58" s="42"/>
      <c r="K58" s="42"/>
      <c r="L58" s="42"/>
      <c r="M58" s="66"/>
      <c r="N58" s="42"/>
      <c r="O58" s="42"/>
      <c r="P58" s="43">
        <v>46066</v>
      </c>
      <c r="Q58" s="43">
        <v>45772</v>
      </c>
      <c r="R58" s="38" t="str">
        <f>IF((NETWORKDAYS(Q58,P58)-1)&gt;=10,"CUMPLE","NO CUMPLE")</f>
        <v>CUMPLE</v>
      </c>
      <c r="S58" s="38" t="str">
        <f>IF(('[1]DATOS INICIALES'!$C$4-P58)&lt;30,"CUMPLE","NO CUMPLE")</f>
        <v>CUMPLE</v>
      </c>
      <c r="T58" s="38" t="str">
        <f t="shared" si="0"/>
        <v>CUMPLE</v>
      </c>
      <c r="U58" s="44">
        <v>1620022129</v>
      </c>
      <c r="V58" s="44">
        <v>1800748964</v>
      </c>
      <c r="W58" s="44">
        <v>433688758</v>
      </c>
      <c r="X58" s="44">
        <v>648997886</v>
      </c>
      <c r="Y58" s="44">
        <v>1151751078</v>
      </c>
      <c r="Z58" s="44">
        <v>476535194</v>
      </c>
      <c r="AA58" s="44">
        <v>0</v>
      </c>
      <c r="AB58" s="44">
        <f>+U58-W58</f>
        <v>1186333371</v>
      </c>
      <c r="AC58" s="48"/>
      <c r="AD58" s="47"/>
      <c r="AE58" s="67">
        <f>+U58-W58</f>
        <v>1186333371</v>
      </c>
      <c r="AF58" s="47"/>
      <c r="AG58" s="68"/>
      <c r="AH58" s="45"/>
      <c r="AI58" s="45"/>
      <c r="AJ58" s="45"/>
      <c r="AK58" s="45"/>
      <c r="AL58" s="45"/>
      <c r="AM58" s="45"/>
      <c r="AN58" s="46"/>
      <c r="AO58" s="47"/>
      <c r="AP58" s="47"/>
      <c r="AQ58" s="47"/>
      <c r="AR58" s="47"/>
      <c r="AS58" s="46"/>
      <c r="AT58" s="46"/>
      <c r="AU58" s="46"/>
      <c r="AV58" s="47"/>
      <c r="AW58" s="47"/>
    </row>
    <row r="59" spans="1:49" x14ac:dyDescent="0.15">
      <c r="D59" s="38">
        <f>+D58+0.1</f>
        <v>12.2</v>
      </c>
      <c r="E59" s="39" t="s">
        <v>146</v>
      </c>
      <c r="F59" s="40">
        <v>901347420</v>
      </c>
      <c r="G59" s="41">
        <v>0.25</v>
      </c>
      <c r="H59" s="42"/>
      <c r="I59" s="42"/>
      <c r="J59" s="42"/>
      <c r="K59" s="42"/>
      <c r="L59" s="42"/>
      <c r="M59" s="66"/>
      <c r="N59" s="42"/>
      <c r="O59" s="42"/>
      <c r="P59" s="43">
        <v>46084</v>
      </c>
      <c r="Q59" s="43">
        <v>45749</v>
      </c>
      <c r="R59" s="38" t="str">
        <f>IF((NETWORKDAYS(Q59,P59)-1)&gt;=10,"CUMPLE","NO CUMPLE")</f>
        <v>CUMPLE</v>
      </c>
      <c r="S59" s="38" t="str">
        <f>IF(('[1]DATOS INICIALES'!$C$4-P59)&lt;30,"CUMPLE","NO CUMPLE")</f>
        <v>CUMPLE</v>
      </c>
      <c r="T59" s="38" t="str">
        <f t="shared" si="0"/>
        <v>CUMPLE</v>
      </c>
      <c r="U59" s="44">
        <v>2230606713</v>
      </c>
      <c r="V59" s="44">
        <v>2231841213</v>
      </c>
      <c r="W59" s="44">
        <v>896818357</v>
      </c>
      <c r="X59" s="44">
        <v>1523404099</v>
      </c>
      <c r="Y59" s="44">
        <v>708437114</v>
      </c>
      <c r="Z59" s="141">
        <v>-111665115</v>
      </c>
      <c r="AA59" s="44">
        <v>0</v>
      </c>
      <c r="AB59" s="44">
        <f>+U59-W59</f>
        <v>1333788356</v>
      </c>
      <c r="AC59" s="48"/>
      <c r="AD59" s="47"/>
      <c r="AE59" s="67">
        <f>+U59-W59</f>
        <v>1333788356</v>
      </c>
      <c r="AF59" s="47"/>
      <c r="AG59" s="68"/>
      <c r="AH59" s="45"/>
      <c r="AI59" s="45"/>
      <c r="AJ59" s="45"/>
      <c r="AK59" s="45"/>
      <c r="AL59" s="45"/>
      <c r="AM59" s="45"/>
      <c r="AN59" s="46"/>
      <c r="AO59" s="47"/>
      <c r="AP59" s="47"/>
      <c r="AQ59" s="47"/>
      <c r="AR59" s="47"/>
      <c r="AS59" s="46"/>
      <c r="AT59" s="46"/>
      <c r="AU59" s="46"/>
      <c r="AV59" s="47"/>
      <c r="AW59" s="47"/>
    </row>
    <row r="60" spans="1:49" x14ac:dyDescent="0.15">
      <c r="D60" s="38">
        <f>+D59+0.1</f>
        <v>12.299999999999999</v>
      </c>
      <c r="E60" s="39" t="s">
        <v>147</v>
      </c>
      <c r="F60" s="40">
        <v>811046878</v>
      </c>
      <c r="G60" s="41">
        <v>0.43</v>
      </c>
      <c r="H60" s="42"/>
      <c r="I60" s="42"/>
      <c r="J60" s="42"/>
      <c r="K60" s="42"/>
      <c r="L60" s="42"/>
      <c r="M60" s="66"/>
      <c r="N60" s="42"/>
      <c r="O60" s="42"/>
      <c r="P60" s="43">
        <v>46071</v>
      </c>
      <c r="Q60" s="43">
        <v>45786</v>
      </c>
      <c r="R60" s="38" t="str">
        <f>IF((NETWORKDAYS(Q60,P60)-1)&gt;=10,"CUMPLE","NO CUMPLE")</f>
        <v>CUMPLE</v>
      </c>
      <c r="S60" s="38" t="str">
        <f>IF(('[1]DATOS INICIALES'!$C$4-P60)&lt;30,"CUMPLE","NO CUMPLE")</f>
        <v>CUMPLE</v>
      </c>
      <c r="T60" s="38" t="str">
        <f t="shared" si="0"/>
        <v>CUMPLE</v>
      </c>
      <c r="U60" s="44">
        <v>15036998580</v>
      </c>
      <c r="V60" s="44">
        <v>16091025285</v>
      </c>
      <c r="W60" s="44">
        <v>3260580691</v>
      </c>
      <c r="X60" s="44">
        <v>3260580691</v>
      </c>
      <c r="Y60" s="44">
        <v>12830444594</v>
      </c>
      <c r="Z60" s="44">
        <v>2338110616</v>
      </c>
      <c r="AA60" s="44">
        <v>0</v>
      </c>
      <c r="AB60" s="44">
        <f>+U60-W60</f>
        <v>11776417889</v>
      </c>
      <c r="AC60" s="48"/>
      <c r="AD60" s="47"/>
      <c r="AE60" s="67">
        <f>+U60-W60</f>
        <v>11776417889</v>
      </c>
      <c r="AF60" s="47"/>
      <c r="AG60" s="68"/>
      <c r="AH60" s="45"/>
      <c r="AI60" s="45"/>
      <c r="AJ60" s="45"/>
      <c r="AK60" s="45"/>
      <c r="AL60" s="45"/>
      <c r="AM60" s="45"/>
      <c r="AN60" s="46"/>
      <c r="AO60" s="47"/>
      <c r="AP60" s="47"/>
      <c r="AQ60" s="47"/>
      <c r="AR60" s="47"/>
      <c r="AS60" s="46"/>
      <c r="AT60" s="46"/>
      <c r="AU60" s="46"/>
      <c r="AV60" s="47"/>
      <c r="AW60" s="47"/>
    </row>
    <row r="61" spans="1:49" ht="15" x14ac:dyDescent="0.15">
      <c r="D61" s="62">
        <v>13</v>
      </c>
      <c r="E61" s="63" t="str">
        <f>IF(D61="","",VLOOKUP(D61,'[1]DATOS INICIALES'!$B$10:$D$69,2,0))</f>
        <v>CONSORCIO INTERVENTOR CONCESIÓN APP</v>
      </c>
      <c r="F61" s="64">
        <f>IF(D61="","",VLOOKUP(D61,'[1]DATOS INICIALES'!$B$10:$D$69,3,0))</f>
        <v>0</v>
      </c>
      <c r="G61" s="65">
        <f>SUM(G62:G63)</f>
        <v>1</v>
      </c>
      <c r="H61" s="64"/>
      <c r="I61" s="30" t="s">
        <v>55</v>
      </c>
      <c r="J61" s="30" t="str">
        <f>IF(I61="SI","CUMPLE", "NO CUMPLE")</f>
        <v>CUMPLE</v>
      </c>
      <c r="K61" s="30" t="s">
        <v>55</v>
      </c>
      <c r="L61" s="30" t="str">
        <f>IF(K61="SI","CUMPLE", "NO CUMPLE")</f>
        <v>CUMPLE</v>
      </c>
      <c r="M61" s="51">
        <f>+IFERROR(VLOOKUP(D61,'[1]DATOS INICIALES'!$B$10:$G$100,6,0),0)</f>
        <v>69394770475</v>
      </c>
      <c r="N61" s="30" t="str">
        <f>IF(M61&lt;='[1]DATOS INICIALES'!$C$6,"CUMPLE","NO CUMPLE")</f>
        <v>CUMPLE</v>
      </c>
      <c r="O61" s="30" t="str">
        <f>IF(AND(J61="CUMPLE",L61="CUMPLE",N61="CUMPLE"),"CUMPLE","NO CUMPLE")</f>
        <v>CUMPLE</v>
      </c>
      <c r="P61" s="31"/>
      <c r="Q61" s="31"/>
      <c r="R61" s="32" t="str">
        <f>IF(AND(R62="CUMPLE",R63="CUMPLE"),"CUMPLE","NO CUMPLE")</f>
        <v>CUMPLE</v>
      </c>
      <c r="S61" s="32" t="str">
        <f>IF(AND(S62="CUMPLE",S63="CUMPLE"),"CUMPLE","NO CUMPLE")</f>
        <v>CUMPLE</v>
      </c>
      <c r="T61" s="32" t="str">
        <f t="shared" si="0"/>
        <v>CUMPLE</v>
      </c>
      <c r="U61" s="33">
        <f t="shared" ref="U61:AB61" si="13">+(U62*$G62)+(U63*$G63)</f>
        <v>20523112019</v>
      </c>
      <c r="V61" s="33">
        <f t="shared" si="13"/>
        <v>23101960484</v>
      </c>
      <c r="W61" s="33">
        <f t="shared" si="13"/>
        <v>8170711356.5</v>
      </c>
      <c r="X61" s="33">
        <f t="shared" si="13"/>
        <v>10975151413</v>
      </c>
      <c r="Y61" s="33">
        <f t="shared" si="13"/>
        <v>12126809071</v>
      </c>
      <c r="Z61" s="33">
        <f t="shared" si="13"/>
        <v>4792862066</v>
      </c>
      <c r="AA61" s="33">
        <f t="shared" si="13"/>
        <v>76828367</v>
      </c>
      <c r="AB61" s="34">
        <f t="shared" si="13"/>
        <v>12352400662.5</v>
      </c>
      <c r="AC61" s="34"/>
      <c r="AD61" s="32" t="str">
        <f>IF(AB61&gt;=$AD$13,"CUMPLE","NO CUMPLE")</f>
        <v>CUMPLE</v>
      </c>
      <c r="AE61" s="75">
        <f>+MAX(AE62:AE63)</f>
        <v>21406786436</v>
      </c>
      <c r="AF61" s="32"/>
      <c r="AG61" s="32" t="str">
        <f>+IF(AE61&gt;=$AG$13,"CUMPLE","NO CUMPLE")</f>
        <v>CUMPLE</v>
      </c>
      <c r="AH61" s="32">
        <f>IF(E61="","",(IF(W61=0,"INDETERMINADO",+U61/W61)))</f>
        <v>2.5117901151499331</v>
      </c>
      <c r="AI61" s="32" t="str">
        <f>IF(OR(AH61="",AH61&lt;$AI$13),"NO CUMPLE","CUMPLE")</f>
        <v>CUMPLE</v>
      </c>
      <c r="AJ61" s="32">
        <f>IF(U62="","",+X61/V61)</f>
        <v>0.47507446048144664</v>
      </c>
      <c r="AK61" s="32" t="str">
        <f>IF(OR(AJ61="",AJ61&gt;$AK$13),"NO CUMPLE","CUMPLE")</f>
        <v>CUMPLE</v>
      </c>
      <c r="AL61" s="32">
        <f>IF(AA61=0,"INDET",(IF(U62="","",Z61/AA61)))</f>
        <v>62.384015867472492</v>
      </c>
      <c r="AM61" s="32" t="str">
        <f>IF(OR(AL61="",AL61&lt;$AM$13),"NO CUMPLE","CUMPLE")</f>
        <v>CUMPLE</v>
      </c>
      <c r="AN61" s="32" t="str">
        <f>IF(AND(AG61="CUMPLE",AI61="CUMPLE",AK61="CUMPLE",AM61="CUMPLE",AD61="CUMPLE"),"CUMPLE","NO CUMPLE")</f>
        <v>CUMPLE</v>
      </c>
      <c r="AO61" s="35">
        <f>IF(U62="","",+Z61/Y61)</f>
        <v>0.39522862427690314</v>
      </c>
      <c r="AP61" s="36" t="str">
        <f>IF(OR(AO61="",AO61&lt;$AP$13),"NO CUMPLE","CUMPLE")</f>
        <v>CUMPLE</v>
      </c>
      <c r="AQ61" s="35">
        <f>IF(U62="","",+Z61/V61)</f>
        <v>0.20746559883172899</v>
      </c>
      <c r="AR61" s="36" t="str">
        <f>IF(OR(AQ61="",AQ61&lt;$AR$13),"NO CUMPLE","CUMPLE")</f>
        <v>CUMPLE</v>
      </c>
      <c r="AS61" s="36" t="str">
        <f>IF(U62="","",IF(AND(AP61="CUMPLE",AR61="CUMPLE"),"CUMPLE","NO CUMPLE"))</f>
        <v>CUMPLE</v>
      </c>
      <c r="AT61" s="36" t="s">
        <v>58</v>
      </c>
      <c r="AU61" s="32" t="str">
        <f>IF(U62="","",IF(AND(O61="CUMPLE",AS61="CUMPLE",AN61="CUMPLE",T61="CUMPLE",AT61="CUMPLE"),"CUMPLE","NO CUMPLE"))</f>
        <v>CUMPLE</v>
      </c>
      <c r="AV61" s="37"/>
      <c r="AW61" s="37"/>
    </row>
    <row r="62" spans="1:49" x14ac:dyDescent="0.15">
      <c r="D62" s="38">
        <f>+D61+0.1</f>
        <v>13.1</v>
      </c>
      <c r="E62" s="39" t="s">
        <v>148</v>
      </c>
      <c r="F62" s="40">
        <v>901355586</v>
      </c>
      <c r="G62" s="41">
        <v>0.5</v>
      </c>
      <c r="H62" s="42"/>
      <c r="I62" s="42"/>
      <c r="J62" s="42"/>
      <c r="K62" s="42"/>
      <c r="L62" s="42"/>
      <c r="M62" s="66"/>
      <c r="N62" s="42"/>
      <c r="O62" s="42"/>
      <c r="P62" s="43">
        <v>46080</v>
      </c>
      <c r="Q62" s="43">
        <v>45758</v>
      </c>
      <c r="R62" s="38" t="str">
        <f>IF((NETWORKDAYS(Q62,P62)-1)&gt;=10,"CUMPLE","NO CUMPLE")</f>
        <v>CUMPLE</v>
      </c>
      <c r="S62" s="38" t="str">
        <f>IF(('[1]DATOS INICIALES'!$C$4-P62)&lt;30,"CUMPLE","NO CUMPLE")</f>
        <v>CUMPLE</v>
      </c>
      <c r="T62" s="38" t="str">
        <f t="shared" si="0"/>
        <v>CUMPLE</v>
      </c>
      <c r="U62" s="44">
        <v>6669097940</v>
      </c>
      <c r="V62" s="44">
        <v>7355629834</v>
      </c>
      <c r="W62" s="44">
        <v>3371083051</v>
      </c>
      <c r="X62" s="44">
        <v>3371083051</v>
      </c>
      <c r="Y62" s="44">
        <v>3984546783</v>
      </c>
      <c r="Z62" s="44">
        <v>2337280232</v>
      </c>
      <c r="AA62" s="44">
        <v>133834</v>
      </c>
      <c r="AB62" s="44">
        <f>+U62-W62</f>
        <v>3298014889</v>
      </c>
      <c r="AC62" s="48"/>
      <c r="AD62" s="47"/>
      <c r="AE62" s="67">
        <f>+U62-W62</f>
        <v>3298014889</v>
      </c>
      <c r="AF62" s="47"/>
      <c r="AG62" s="68"/>
      <c r="AH62" s="45"/>
      <c r="AI62" s="45"/>
      <c r="AJ62" s="45"/>
      <c r="AK62" s="45"/>
      <c r="AL62" s="45"/>
      <c r="AM62" s="45"/>
      <c r="AN62" s="46"/>
      <c r="AO62" s="47"/>
      <c r="AP62" s="47"/>
      <c r="AQ62" s="47"/>
      <c r="AR62" s="47"/>
      <c r="AS62" s="46"/>
      <c r="AT62" s="46"/>
      <c r="AU62" s="46"/>
      <c r="AV62" s="47"/>
      <c r="AW62" s="47"/>
    </row>
    <row r="63" spans="1:49" ht="26" x14ac:dyDescent="0.15">
      <c r="D63" s="38">
        <f>+D62+0.1</f>
        <v>13.2</v>
      </c>
      <c r="E63" s="39" t="s">
        <v>149</v>
      </c>
      <c r="F63" s="40">
        <v>900366647</v>
      </c>
      <c r="G63" s="41">
        <v>0.5</v>
      </c>
      <c r="H63" s="42"/>
      <c r="I63" s="42"/>
      <c r="J63" s="42"/>
      <c r="K63" s="42"/>
      <c r="L63" s="42"/>
      <c r="M63" s="66"/>
      <c r="N63" s="42"/>
      <c r="O63" s="42"/>
      <c r="P63" s="43">
        <v>46080</v>
      </c>
      <c r="Q63" s="43">
        <v>45754</v>
      </c>
      <c r="R63" s="38" t="str">
        <f>IF((NETWORKDAYS(Q63,P63)-1)&gt;=10,"CUMPLE","NO CUMPLE")</f>
        <v>CUMPLE</v>
      </c>
      <c r="S63" s="38" t="str">
        <f>IF(('[1]DATOS INICIALES'!$C$4-P63)&lt;30,"CUMPLE","NO CUMPLE")</f>
        <v>CUMPLE</v>
      </c>
      <c r="T63" s="38" t="str">
        <f t="shared" si="0"/>
        <v>CUMPLE</v>
      </c>
      <c r="U63" s="44">
        <v>34377126098</v>
      </c>
      <c r="V63" s="44">
        <v>38848291134</v>
      </c>
      <c r="W63" s="44">
        <v>12970339662</v>
      </c>
      <c r="X63" s="44">
        <v>18579219775</v>
      </c>
      <c r="Y63" s="44">
        <v>20269071359</v>
      </c>
      <c r="Z63" s="44">
        <v>7248443900</v>
      </c>
      <c r="AA63" s="44">
        <v>153522900</v>
      </c>
      <c r="AB63" s="44">
        <f>+U63-W63</f>
        <v>21406786436</v>
      </c>
      <c r="AC63" s="48"/>
      <c r="AD63" s="47"/>
      <c r="AE63" s="67">
        <f>+U63-W63</f>
        <v>21406786436</v>
      </c>
      <c r="AF63" s="47"/>
      <c r="AG63" s="68"/>
      <c r="AH63" s="45"/>
      <c r="AI63" s="45"/>
      <c r="AJ63" s="45"/>
      <c r="AK63" s="45"/>
      <c r="AL63" s="45"/>
      <c r="AM63" s="45"/>
      <c r="AN63" s="46"/>
      <c r="AO63" s="47"/>
      <c r="AP63" s="47"/>
      <c r="AQ63" s="47"/>
      <c r="AR63" s="47"/>
      <c r="AS63" s="46"/>
      <c r="AT63" s="46"/>
      <c r="AU63" s="46"/>
      <c r="AV63" s="47"/>
      <c r="AW63" s="47"/>
    </row>
    <row r="64" spans="1:49" ht="15" x14ac:dyDescent="0.15">
      <c r="D64" s="62">
        <v>14</v>
      </c>
      <c r="E64" s="63" t="str">
        <f>IF(D64="","",VLOOKUP(D64,'[1]DATOS INICIALES'!$B$10:$D$69,2,0))</f>
        <v>CONSORCIO CORREDOR CAUCA 3M</v>
      </c>
      <c r="F64" s="64">
        <f>IF(D64="","",VLOOKUP(D64,'[1]DATOS INICIALES'!$B$10:$D$69,3,0))</f>
        <v>0</v>
      </c>
      <c r="G64" s="65">
        <f>SUM(G65:G67)</f>
        <v>1</v>
      </c>
      <c r="H64" s="64"/>
      <c r="I64" s="30" t="s">
        <v>55</v>
      </c>
      <c r="J64" s="30" t="str">
        <f>IF(I64="SI","CUMPLE", "NO CUMPLE")</f>
        <v>CUMPLE</v>
      </c>
      <c r="K64" s="30" t="s">
        <v>55</v>
      </c>
      <c r="L64" s="30" t="str">
        <f>IF(K64="SI","CUMPLE", "NO CUMPLE")</f>
        <v>CUMPLE</v>
      </c>
      <c r="M64" s="51">
        <f>+IFERROR(VLOOKUP(D64,'[1]DATOS INICIALES'!$B$10:$G$100,6,0),0)</f>
        <v>69477143896</v>
      </c>
      <c r="N64" s="30" t="str">
        <f>IF(M64&lt;='[1]DATOS INICIALES'!$C$6,"CUMPLE","NO CUMPLE")</f>
        <v>CUMPLE</v>
      </c>
      <c r="O64" s="30" t="str">
        <f>IF(AND(J64="CUMPLE",L64="CUMPLE",N64="CUMPLE"),"CUMPLE","NO CUMPLE")</f>
        <v>CUMPLE</v>
      </c>
      <c r="P64" s="31"/>
      <c r="Q64" s="31"/>
      <c r="R64" s="32" t="str">
        <f>IF(AND(R65="CUMPLE",R66="CUMPLE",R67="CUMPLE"),"CUMPLE","NO CUMPLE")</f>
        <v>CUMPLE</v>
      </c>
      <c r="S64" s="32" t="str">
        <f>IF(AND(S65="CUMPLE",S66="CUMPLE",S67="CUMPLE"),"CUMPLE","NO CUMPLE")</f>
        <v>CUMPLE</v>
      </c>
      <c r="T64" s="32" t="str">
        <f t="shared" si="0"/>
        <v>CUMPLE</v>
      </c>
      <c r="U64" s="33">
        <f t="shared" ref="U64:AB64" si="14">+(U65*$G65)+(U66*$G66)+(U67*$G67)</f>
        <v>25862483548.800003</v>
      </c>
      <c r="V64" s="33">
        <f t="shared" si="14"/>
        <v>30190940019.899998</v>
      </c>
      <c r="W64" s="33">
        <f t="shared" si="14"/>
        <v>8630362426.6999989</v>
      </c>
      <c r="X64" s="33">
        <f t="shared" si="14"/>
        <v>14969809064.5</v>
      </c>
      <c r="Y64" s="33">
        <f t="shared" si="14"/>
        <v>15221130955.4</v>
      </c>
      <c r="Z64" s="33">
        <f t="shared" si="14"/>
        <v>4403998298.4000006</v>
      </c>
      <c r="AA64" s="33">
        <f t="shared" si="14"/>
        <v>195081771</v>
      </c>
      <c r="AB64" s="34">
        <f t="shared" si="14"/>
        <v>17232121122.099998</v>
      </c>
      <c r="AC64" s="34"/>
      <c r="AD64" s="32" t="str">
        <f>IF(AB64&gt;=$AD$13,"CUMPLE","NO CUMPLE")</f>
        <v>CUMPLE</v>
      </c>
      <c r="AE64" s="75">
        <f>+MAX(AE65:AE67)</f>
        <v>32733323402</v>
      </c>
      <c r="AF64" s="32"/>
      <c r="AG64" s="32" t="str">
        <f>+IF(AE64&gt;=$AG$13,"CUMPLE","NO CUMPLE")</f>
        <v>CUMPLE</v>
      </c>
      <c r="AH64" s="32">
        <f>IF(E64="","",(IF(W64=0,"INDETERMINADO",+U64/W64)))</f>
        <v>2.9966856859670803</v>
      </c>
      <c r="AI64" s="32" t="str">
        <f>IF(OR(AH64="",AH64&lt;$AI$13),"NO CUMPLE","CUMPLE")</f>
        <v>CUMPLE</v>
      </c>
      <c r="AJ64" s="32">
        <f>IF(U65="","",+X64/V64)</f>
        <v>0.49583779288199803</v>
      </c>
      <c r="AK64" s="32" t="str">
        <f>IF(OR(AJ64="",AJ64&gt;$AK$13),"NO CUMPLE","CUMPLE")</f>
        <v>CUMPLE</v>
      </c>
      <c r="AL64" s="32">
        <f>IF(AA64=0,"INDET",(IF(U65="","",Z64/AA64)))</f>
        <v>22.57514003397068</v>
      </c>
      <c r="AM64" s="32" t="str">
        <f>IF(OR(AL64="",AL64&lt;$AM$13),"NO CUMPLE","CUMPLE")</f>
        <v>CUMPLE</v>
      </c>
      <c r="AN64" s="32" t="str">
        <f>IF(AND(AG64="CUMPLE",AI64="CUMPLE",AK64="CUMPLE",AM64="CUMPLE",AD64="CUMPLE"),"CUMPLE","NO CUMPLE")</f>
        <v>CUMPLE</v>
      </c>
      <c r="AO64" s="35">
        <f>IF(U65="","",+Z64/Y64)</f>
        <v>0.28933449894783242</v>
      </c>
      <c r="AP64" s="36" t="str">
        <f>IF(OR(AO64="",AO64&lt;$AP$13),"NO CUMPLE","CUMPLE")</f>
        <v>CUMPLE</v>
      </c>
      <c r="AQ64" s="35">
        <f>IF(U65="","",+Z64/V64)</f>
        <v>0.14587151958492042</v>
      </c>
      <c r="AR64" s="36" t="str">
        <f>IF(OR(AQ64="",AQ64&lt;$AR$13),"NO CUMPLE","CUMPLE")</f>
        <v>CUMPLE</v>
      </c>
      <c r="AS64" s="36" t="str">
        <f>IF(U65="","",IF(AND(AP64="CUMPLE",AR64="CUMPLE"),"CUMPLE","NO CUMPLE"))</f>
        <v>CUMPLE</v>
      </c>
      <c r="AT64" s="36" t="s">
        <v>58</v>
      </c>
      <c r="AU64" s="32" t="str">
        <f>IF(U65="","",IF(AND(O64="CUMPLE",AS64="CUMPLE",AN64="CUMPLE",T64="CUMPLE",AT64="CUMPLE"),"CUMPLE","NO CUMPLE"))</f>
        <v>CUMPLE</v>
      </c>
      <c r="AV64" s="37"/>
      <c r="AW64" s="37"/>
    </row>
    <row r="65" spans="4:49" x14ac:dyDescent="0.15">
      <c r="D65" s="38">
        <f>+D64+0.1</f>
        <v>14.1</v>
      </c>
      <c r="E65" s="39" t="s">
        <v>150</v>
      </c>
      <c r="F65" s="40">
        <v>900139110</v>
      </c>
      <c r="G65" s="41">
        <v>0.5</v>
      </c>
      <c r="H65" s="42"/>
      <c r="I65" s="42"/>
      <c r="J65" s="42"/>
      <c r="K65" s="42"/>
      <c r="L65" s="42"/>
      <c r="M65" s="66"/>
      <c r="N65" s="42"/>
      <c r="O65" s="42"/>
      <c r="P65" s="43">
        <v>46080</v>
      </c>
      <c r="Q65" s="43">
        <v>45770</v>
      </c>
      <c r="R65" s="38" t="str">
        <f>IF((NETWORKDAYS(Q65,P65)-1)&gt;=10,"CUMPLE","NO CUMPLE")</f>
        <v>CUMPLE</v>
      </c>
      <c r="S65" s="38" t="str">
        <f>IF(('[1]DATOS INICIALES'!$C$4-P65)&lt;30,"CUMPLE","NO CUMPLE")</f>
        <v>CUMPLE</v>
      </c>
      <c r="T65" s="38" t="str">
        <f t="shared" si="0"/>
        <v>CUMPLE</v>
      </c>
      <c r="U65" s="44">
        <v>46676456364</v>
      </c>
      <c r="V65" s="44">
        <v>55285739777</v>
      </c>
      <c r="W65" s="44">
        <v>13943132962</v>
      </c>
      <c r="X65" s="44">
        <v>26452223657</v>
      </c>
      <c r="Y65" s="44">
        <v>28833516120</v>
      </c>
      <c r="Z65" s="44">
        <v>8709141533</v>
      </c>
      <c r="AA65" s="44">
        <v>388451499</v>
      </c>
      <c r="AB65" s="44">
        <f>+U65-W65</f>
        <v>32733323402</v>
      </c>
      <c r="AC65" s="48"/>
      <c r="AD65" s="47"/>
      <c r="AE65" s="67">
        <f>+U65-W65</f>
        <v>32733323402</v>
      </c>
      <c r="AF65" s="47"/>
      <c r="AG65" s="68"/>
      <c r="AH65" s="45"/>
      <c r="AI65" s="45"/>
      <c r="AJ65" s="45"/>
      <c r="AK65" s="45"/>
      <c r="AL65" s="45"/>
      <c r="AM65" s="45"/>
      <c r="AN65" s="46"/>
      <c r="AO65" s="47"/>
      <c r="AP65" s="47"/>
      <c r="AQ65" s="47"/>
      <c r="AR65" s="47"/>
      <c r="AS65" s="46"/>
      <c r="AT65" s="46"/>
      <c r="AU65" s="46"/>
      <c r="AV65" s="47"/>
      <c r="AW65" s="47"/>
    </row>
    <row r="66" spans="4:49" x14ac:dyDescent="0.15">
      <c r="D66" s="38">
        <f>+D65+0.1</f>
        <v>14.2</v>
      </c>
      <c r="E66" s="39" t="s">
        <v>151</v>
      </c>
      <c r="F66" s="40">
        <v>900787019</v>
      </c>
      <c r="G66" s="41">
        <v>0.3</v>
      </c>
      <c r="H66" s="42"/>
      <c r="I66" s="42"/>
      <c r="J66" s="42"/>
      <c r="K66" s="42"/>
      <c r="L66" s="42"/>
      <c r="M66" s="66"/>
      <c r="N66" s="42"/>
      <c r="O66" s="42"/>
      <c r="P66" s="43">
        <v>46080</v>
      </c>
      <c r="Q66" s="43">
        <v>45757</v>
      </c>
      <c r="R66" s="38" t="str">
        <f>IF((NETWORKDAYS(Q66,P66)-1)&gt;=10,"CUMPLE","NO CUMPLE")</f>
        <v>CUMPLE</v>
      </c>
      <c r="S66" s="38" t="str">
        <f>IF(('[1]DATOS INICIALES'!$C$4-P66)&lt;30,"CUMPLE","NO CUMPLE")</f>
        <v>CUMPLE</v>
      </c>
      <c r="T66" s="38" t="str">
        <f t="shared" si="0"/>
        <v>CUMPLE</v>
      </c>
      <c r="U66" s="44">
        <v>7510976508</v>
      </c>
      <c r="V66" s="44">
        <v>7559444586</v>
      </c>
      <c r="W66" s="44">
        <v>5116355253</v>
      </c>
      <c r="X66" s="44">
        <v>5399359554</v>
      </c>
      <c r="Y66" s="44">
        <v>2160085032</v>
      </c>
      <c r="Z66" s="44">
        <v>52165897</v>
      </c>
      <c r="AA66" s="44">
        <v>3501</v>
      </c>
      <c r="AB66" s="44">
        <f>+U66-W66</f>
        <v>2394621255</v>
      </c>
      <c r="AC66" s="48"/>
      <c r="AD66" s="47"/>
      <c r="AE66" s="67">
        <f>+U66-W66</f>
        <v>2394621255</v>
      </c>
      <c r="AF66" s="47"/>
      <c r="AG66" s="68"/>
      <c r="AH66" s="45"/>
      <c r="AI66" s="45"/>
      <c r="AJ66" s="45"/>
      <c r="AK66" s="45"/>
      <c r="AL66" s="45"/>
      <c r="AM66" s="45"/>
      <c r="AN66" s="46"/>
      <c r="AO66" s="47"/>
      <c r="AP66" s="47"/>
      <c r="AQ66" s="47"/>
      <c r="AR66" s="47"/>
      <c r="AS66" s="46"/>
      <c r="AT66" s="46"/>
      <c r="AU66" s="46"/>
      <c r="AV66" s="47"/>
      <c r="AW66" s="47"/>
    </row>
    <row r="67" spans="4:49" x14ac:dyDescent="0.15">
      <c r="D67" s="38">
        <f>+D66+0.1</f>
        <v>14.299999999999999</v>
      </c>
      <c r="E67" s="39" t="s">
        <v>152</v>
      </c>
      <c r="F67" s="40">
        <v>901303734</v>
      </c>
      <c r="G67" s="41">
        <v>0.2</v>
      </c>
      <c r="H67" s="42"/>
      <c r="I67" s="42"/>
      <c r="J67" s="42"/>
      <c r="K67" s="42"/>
      <c r="L67" s="42"/>
      <c r="M67" s="66"/>
      <c r="N67" s="42"/>
      <c r="O67" s="42"/>
      <c r="P67" s="43">
        <v>46080</v>
      </c>
      <c r="Q67" s="43">
        <v>45754</v>
      </c>
      <c r="R67" s="38" t="str">
        <f>IF((NETWORKDAYS(Q67,P67)-1)&gt;=10,"CUMPLE","NO CUMPLE")</f>
        <v>CUMPLE</v>
      </c>
      <c r="S67" s="38" t="str">
        <f>IF(('[1]DATOS INICIALES'!$C$4-P67)&lt;30,"CUMPLE","NO CUMPLE")</f>
        <v>CUMPLE</v>
      </c>
      <c r="T67" s="38" t="str">
        <f t="shared" si="0"/>
        <v>CUMPLE</v>
      </c>
      <c r="U67" s="44">
        <v>1354812072</v>
      </c>
      <c r="V67" s="44">
        <v>1401183778</v>
      </c>
      <c r="W67" s="44">
        <v>619446849</v>
      </c>
      <c r="X67" s="44">
        <v>619446849</v>
      </c>
      <c r="Y67" s="44">
        <v>781736929</v>
      </c>
      <c r="Z67" s="44">
        <v>168888814</v>
      </c>
      <c r="AA67" s="44">
        <v>4274856</v>
      </c>
      <c r="AB67" s="44">
        <f>+U67-W67</f>
        <v>735365223</v>
      </c>
      <c r="AC67" s="48"/>
      <c r="AD67" s="47"/>
      <c r="AE67" s="67">
        <f>+U67-W67</f>
        <v>735365223</v>
      </c>
      <c r="AF67" s="47"/>
      <c r="AG67" s="68"/>
      <c r="AH67" s="45"/>
      <c r="AI67" s="45"/>
      <c r="AJ67" s="45"/>
      <c r="AK67" s="45"/>
      <c r="AL67" s="45"/>
      <c r="AM67" s="45"/>
      <c r="AN67" s="46"/>
      <c r="AO67" s="47"/>
      <c r="AP67" s="47"/>
      <c r="AQ67" s="47"/>
      <c r="AR67" s="47"/>
      <c r="AS67" s="46"/>
      <c r="AT67" s="46"/>
      <c r="AU67" s="46"/>
      <c r="AV67" s="47"/>
      <c r="AW67" s="47"/>
    </row>
    <row r="68" spans="4:49" ht="15" x14ac:dyDescent="0.15">
      <c r="D68" s="62">
        <v>15</v>
      </c>
      <c r="E68" s="63" t="str">
        <f>IF(D68="","",VLOOKUP(D68,'[1]DATOS INICIALES'!$B$10:$D$69,2,0))</f>
        <v>CONSORCIO CONCESIÓN ESTANQUILLO AG</v>
      </c>
      <c r="F68" s="64">
        <f>IF(D68="","",VLOOKUP(D68,'[1]DATOS INICIALES'!$B$10:$D$69,3,0))</f>
        <v>0</v>
      </c>
      <c r="G68" s="65">
        <f>SUM(G69:G70)</f>
        <v>1</v>
      </c>
      <c r="H68" s="64"/>
      <c r="I68" s="30" t="s">
        <v>55</v>
      </c>
      <c r="J68" s="30" t="str">
        <f>IF(I68="SI","CUMPLE", "NO CUMPLE")</f>
        <v>CUMPLE</v>
      </c>
      <c r="K68" s="30" t="s">
        <v>55</v>
      </c>
      <c r="L68" s="30" t="str">
        <f>IF(K68="SI","CUMPLE", "NO CUMPLE")</f>
        <v>CUMPLE</v>
      </c>
      <c r="M68" s="51">
        <f>+IFERROR(VLOOKUP(D68,'[1]DATOS INICIALES'!$B$10:$G$100,6,0),0)</f>
        <v>69477143896</v>
      </c>
      <c r="N68" s="30" t="str">
        <f>IF(M68&lt;='[1]DATOS INICIALES'!$C$6,"CUMPLE","NO CUMPLE")</f>
        <v>CUMPLE</v>
      </c>
      <c r="O68" s="30" t="str">
        <f>IF(AND(J68="CUMPLE",L68="CUMPLE",N68="CUMPLE"),"CUMPLE","NO CUMPLE")</f>
        <v>CUMPLE</v>
      </c>
      <c r="P68" s="31"/>
      <c r="Q68" s="31"/>
      <c r="R68" s="32" t="str">
        <f>IF(AND(R69="CUMPLE",R70="CUMPLE"),"CUMPLE","NO CUMPLE")</f>
        <v>CUMPLE</v>
      </c>
      <c r="S68" s="32" t="str">
        <f>IF(AND(S69="CUMPLE",S70="CUMPLE"),"CUMPLE","NO CUMPLE")</f>
        <v>CUMPLE</v>
      </c>
      <c r="T68" s="32" t="str">
        <f t="shared" si="0"/>
        <v>CUMPLE</v>
      </c>
      <c r="U68" s="33">
        <f t="shared" ref="U68:AB68" si="15">+(U69*$G69)+(U70*$G70)</f>
        <v>20990481597</v>
      </c>
      <c r="V68" s="33">
        <f t="shared" si="15"/>
        <v>22456421395.5</v>
      </c>
      <c r="W68" s="33">
        <f t="shared" si="15"/>
        <v>10854786804</v>
      </c>
      <c r="X68" s="33">
        <f t="shared" si="15"/>
        <v>13382149041</v>
      </c>
      <c r="Y68" s="33">
        <f t="shared" si="15"/>
        <v>9074272354.5</v>
      </c>
      <c r="Z68" s="33">
        <f t="shared" si="15"/>
        <v>1990868107.5</v>
      </c>
      <c r="AA68" s="33">
        <f t="shared" si="15"/>
        <v>194765500</v>
      </c>
      <c r="AB68" s="34">
        <f t="shared" si="15"/>
        <v>10135694793</v>
      </c>
      <c r="AC68" s="34"/>
      <c r="AD68" s="32" t="str">
        <f>IF(AB68&gt;=$AD$13,"CUMPLE","NO CUMPLE")</f>
        <v>CUMPLE</v>
      </c>
      <c r="AE68" s="75">
        <f>+MAX(AE69:AE70)</f>
        <v>10865528000</v>
      </c>
      <c r="AF68" s="32"/>
      <c r="AG68" s="32" t="str">
        <f>+IF(AE68&gt;=$AG$13,"CUMPLE","NO CUMPLE")</f>
        <v>CUMPLE</v>
      </c>
      <c r="AH68" s="32">
        <f>IF(E68="","",(IF(W68=0,"INDETERMINADO",+U68/W68)))</f>
        <v>1.9337534652698094</v>
      </c>
      <c r="AI68" s="32" t="str">
        <f>IF(OR(AH68="",AH68&lt;$AI$13),"NO CUMPLE","CUMPLE")</f>
        <v>CUMPLE</v>
      </c>
      <c r="AJ68" s="32">
        <f>IF(U69="","",+X68/V68)</f>
        <v>0.59591636642878565</v>
      </c>
      <c r="AK68" s="32" t="str">
        <f>IF(OR(AJ68="",AJ68&gt;$AK$13),"NO CUMPLE","CUMPLE")</f>
        <v>CUMPLE</v>
      </c>
      <c r="AL68" s="32">
        <f>IF(AA68=0,"INDET",(IF(U69="","",Z68/AA68)))</f>
        <v>10.221872495385476</v>
      </c>
      <c r="AM68" s="32" t="str">
        <f>IF(OR(AL68="",AL68&lt;$AM$13),"NO CUMPLE","CUMPLE")</f>
        <v>CUMPLE</v>
      </c>
      <c r="AN68" s="32" t="str">
        <f>IF(AND(AG68="CUMPLE",AI68="CUMPLE",AK68="CUMPLE",AM68="CUMPLE",AD68="CUMPLE"),"CUMPLE","NO CUMPLE")</f>
        <v>CUMPLE</v>
      </c>
      <c r="AO68" s="35">
        <f>IF(U69="","",+Z68/Y68)</f>
        <v>0.21939699732648132</v>
      </c>
      <c r="AP68" s="36" t="str">
        <f>IF(OR(AO68="",AO68&lt;$AP$13),"NO CUMPLE","CUMPLE")</f>
        <v>CUMPLE</v>
      </c>
      <c r="AQ68" s="35">
        <f>IF(U69="","",+Z68/V68)</f>
        <v>8.8654735874298576E-2</v>
      </c>
      <c r="AR68" s="36" t="str">
        <f>IF(OR(AQ68="",AQ68&lt;$AR$13),"NO CUMPLE","CUMPLE")</f>
        <v>CUMPLE</v>
      </c>
      <c r="AS68" s="36" t="str">
        <f>IF(U69="","",IF(AND(AP68="CUMPLE",AR68="CUMPLE"),"CUMPLE","NO CUMPLE"))</f>
        <v>CUMPLE</v>
      </c>
      <c r="AT68" s="36" t="s">
        <v>58</v>
      </c>
      <c r="AU68" s="32" t="str">
        <f>IF(U69="","",IF(AND(O68="CUMPLE",AS68="CUMPLE",AN68="CUMPLE",T68="CUMPLE",AT68="CUMPLE"),"CUMPLE","NO CUMPLE"))</f>
        <v>CUMPLE</v>
      </c>
      <c r="AV68" s="37"/>
      <c r="AW68" s="37"/>
    </row>
    <row r="69" spans="4:49" x14ac:dyDescent="0.15">
      <c r="D69" s="38">
        <f>+D68+0.1</f>
        <v>15.1</v>
      </c>
      <c r="E69" s="39" t="s">
        <v>153</v>
      </c>
      <c r="F69" s="40">
        <v>901200521</v>
      </c>
      <c r="G69" s="41">
        <v>0.5</v>
      </c>
      <c r="H69" s="42"/>
      <c r="I69" s="42"/>
      <c r="J69" s="42"/>
      <c r="K69" s="42"/>
      <c r="L69" s="42"/>
      <c r="M69" s="66"/>
      <c r="N69" s="42"/>
      <c r="O69" s="42"/>
      <c r="P69" s="43">
        <v>46069</v>
      </c>
      <c r="Q69" s="43">
        <v>45721</v>
      </c>
      <c r="R69" s="38" t="str">
        <f>IF((NETWORKDAYS(Q69,P69)-1)&gt;=10,"CUMPLE","NO CUMPLE")</f>
        <v>CUMPLE</v>
      </c>
      <c r="S69" s="38" t="str">
        <f>IF(('[1]DATOS INICIALES'!$C$4-P69)&lt;30,"CUMPLE","NO CUMPLE")</f>
        <v>CUMPLE</v>
      </c>
      <c r="T69" s="38" t="str">
        <f t="shared" si="0"/>
        <v>CUMPLE</v>
      </c>
      <c r="U69" s="44">
        <v>22181835194</v>
      </c>
      <c r="V69" s="44">
        <v>22197185791</v>
      </c>
      <c r="W69" s="44">
        <v>12775973608</v>
      </c>
      <c r="X69" s="44">
        <v>13981710082</v>
      </c>
      <c r="Y69" s="44">
        <v>8215475709</v>
      </c>
      <c r="Z69" s="44">
        <v>2308828215</v>
      </c>
      <c r="AA69" s="44">
        <v>0</v>
      </c>
      <c r="AB69" s="44">
        <f>+U69-W69</f>
        <v>9405861586</v>
      </c>
      <c r="AC69" s="48"/>
      <c r="AD69" s="47"/>
      <c r="AE69" s="67">
        <f>+U69-W69</f>
        <v>9405861586</v>
      </c>
      <c r="AF69" s="47"/>
      <c r="AG69" s="68"/>
      <c r="AH69" s="45"/>
      <c r="AI69" s="45"/>
      <c r="AJ69" s="45"/>
      <c r="AK69" s="45"/>
      <c r="AL69" s="45"/>
      <c r="AM69" s="45"/>
      <c r="AN69" s="46"/>
      <c r="AO69" s="47"/>
      <c r="AP69" s="47"/>
      <c r="AQ69" s="47"/>
      <c r="AR69" s="47"/>
      <c r="AS69" s="46"/>
      <c r="AT69" s="46"/>
      <c r="AU69" s="46"/>
      <c r="AV69" s="47"/>
      <c r="AW69" s="47"/>
    </row>
    <row r="70" spans="4:49" x14ac:dyDescent="0.15">
      <c r="D70" s="38">
        <f>+D69+0.1</f>
        <v>15.2</v>
      </c>
      <c r="E70" s="39" t="s">
        <v>154</v>
      </c>
      <c r="F70" s="40">
        <v>860034335</v>
      </c>
      <c r="G70" s="41">
        <v>0.5</v>
      </c>
      <c r="H70" s="42"/>
      <c r="I70" s="42"/>
      <c r="J70" s="42"/>
      <c r="K70" s="42"/>
      <c r="L70" s="42"/>
      <c r="M70" s="66"/>
      <c r="N70" s="42"/>
      <c r="O70" s="42"/>
      <c r="P70" s="43">
        <v>46078</v>
      </c>
      <c r="Q70" s="43">
        <v>45783</v>
      </c>
      <c r="R70" s="38" t="str">
        <f>IF((NETWORKDAYS(Q70,P70)-1)&gt;=10,"CUMPLE","NO CUMPLE")</f>
        <v>CUMPLE</v>
      </c>
      <c r="S70" s="38" t="str">
        <f>IF(('[1]DATOS INICIALES'!$C$4-P70)&lt;30,"CUMPLE","NO CUMPLE")</f>
        <v>CUMPLE</v>
      </c>
      <c r="T70" s="38" t="str">
        <f t="shared" si="0"/>
        <v>CUMPLE</v>
      </c>
      <c r="U70" s="44">
        <v>19799128000</v>
      </c>
      <c r="V70" s="44">
        <v>22715657000</v>
      </c>
      <c r="W70" s="44">
        <v>8933600000</v>
      </c>
      <c r="X70" s="44">
        <v>12782588000</v>
      </c>
      <c r="Y70" s="44">
        <v>9933069000</v>
      </c>
      <c r="Z70" s="44">
        <v>1672908000</v>
      </c>
      <c r="AA70" s="44">
        <v>389531000</v>
      </c>
      <c r="AB70" s="44">
        <f>+U70-W70</f>
        <v>10865528000</v>
      </c>
      <c r="AC70" s="48"/>
      <c r="AD70" s="47"/>
      <c r="AE70" s="67">
        <f>+U70-W70</f>
        <v>10865528000</v>
      </c>
      <c r="AF70" s="47"/>
      <c r="AG70" s="68"/>
      <c r="AH70" s="45"/>
      <c r="AI70" s="45"/>
      <c r="AJ70" s="45"/>
      <c r="AK70" s="45"/>
      <c r="AL70" s="45"/>
      <c r="AM70" s="45"/>
      <c r="AN70" s="46"/>
      <c r="AO70" s="47"/>
      <c r="AP70" s="47"/>
      <c r="AQ70" s="47"/>
      <c r="AR70" s="47"/>
      <c r="AS70" s="46"/>
      <c r="AT70" s="46"/>
      <c r="AU70" s="46"/>
      <c r="AV70" s="47"/>
      <c r="AW70" s="47"/>
    </row>
    <row r="71" spans="4:49" ht="15" x14ac:dyDescent="0.15">
      <c r="D71" s="62">
        <v>16</v>
      </c>
      <c r="E71" s="63" t="str">
        <f>IF(D71="","",VLOOKUP(D71,'[1]DATOS INICIALES'!$B$10:$D$69,2,0))</f>
        <v>CONSORCIO VIAS POPAYAN</v>
      </c>
      <c r="F71" s="64">
        <f>IF(D71="","",VLOOKUP(D71,'[1]DATOS INICIALES'!$B$10:$D$69,3,0))</f>
        <v>0</v>
      </c>
      <c r="G71" s="65">
        <f>SUM(G72:G73)</f>
        <v>1</v>
      </c>
      <c r="H71" s="64"/>
      <c r="I71" s="30" t="s">
        <v>55</v>
      </c>
      <c r="J71" s="30" t="str">
        <f>IF(I71="SI","CUMPLE", "NO CUMPLE")</f>
        <v>CUMPLE</v>
      </c>
      <c r="K71" s="30" t="s">
        <v>55</v>
      </c>
      <c r="L71" s="30" t="str">
        <f>IF(K71="SI","CUMPLE", "NO CUMPLE")</f>
        <v>CUMPLE</v>
      </c>
      <c r="M71" s="51">
        <f>+IFERROR(VLOOKUP(D71,'[1]DATOS INICIALES'!$B$10:$G$100,6,0),0)</f>
        <v>69477143896</v>
      </c>
      <c r="N71" s="30" t="str">
        <f>IF(M71&lt;='[1]DATOS INICIALES'!$C$6,"CUMPLE","NO CUMPLE")</f>
        <v>CUMPLE</v>
      </c>
      <c r="O71" s="30" t="str">
        <f>IF(AND(J71="CUMPLE",L71="CUMPLE",N71="CUMPLE"),"CUMPLE","NO CUMPLE")</f>
        <v>CUMPLE</v>
      </c>
      <c r="P71" s="31"/>
      <c r="Q71" s="31"/>
      <c r="R71" s="32" t="str">
        <f>IF(AND(R72="CUMPLE",R73="CUMPLE"),"CUMPLE","NO CUMPLE")</f>
        <v>CUMPLE</v>
      </c>
      <c r="S71" s="32" t="str">
        <f>IF(AND(S72="CUMPLE",S73="CUMPLE"),"CUMPLE","NO CUMPLE")</f>
        <v>CUMPLE</v>
      </c>
      <c r="T71" s="32" t="str">
        <f t="shared" si="0"/>
        <v>CUMPLE</v>
      </c>
      <c r="U71" s="33">
        <f t="shared" ref="U71:AB71" si="16">+(U72*$G72)+(U73*$G73)</f>
        <v>9427550149.7999992</v>
      </c>
      <c r="V71" s="33">
        <f t="shared" si="16"/>
        <v>10028893905.799999</v>
      </c>
      <c r="W71" s="33">
        <f t="shared" si="16"/>
        <v>534709108.20000005</v>
      </c>
      <c r="X71" s="33">
        <f t="shared" si="16"/>
        <v>2367449302.8000002</v>
      </c>
      <c r="Y71" s="33">
        <f t="shared" si="16"/>
        <v>7661444603</v>
      </c>
      <c r="Z71" s="33">
        <f t="shared" si="16"/>
        <v>364677754.80000001</v>
      </c>
      <c r="AA71" s="33">
        <f t="shared" si="16"/>
        <v>26968366</v>
      </c>
      <c r="AB71" s="34">
        <f t="shared" si="16"/>
        <v>8892841041.5999985</v>
      </c>
      <c r="AC71" s="34"/>
      <c r="AD71" s="32" t="str">
        <f>IF(AB71&gt;=$AD$13,"CUMPLE","NO CUMPLE")</f>
        <v>CUMPLE</v>
      </c>
      <c r="AE71" s="75">
        <f>+MAX(AE72:AE73)</f>
        <v>11654527626</v>
      </c>
      <c r="AF71" s="32"/>
      <c r="AG71" s="32" t="str">
        <f>+IF(AE71&gt;=$AG$13,"CUMPLE","NO CUMPLE")</f>
        <v>CUMPLE</v>
      </c>
      <c r="AH71" s="32">
        <f>IF(E71="","",(IF(W71=0,"INDETERMINADO",+U71/W71)))</f>
        <v>17.631175540540379</v>
      </c>
      <c r="AI71" s="32" t="str">
        <f>IF(OR(AH71="",AH71&lt;$AI$13),"NO CUMPLE","CUMPLE")</f>
        <v>CUMPLE</v>
      </c>
      <c r="AJ71" s="32">
        <f>IF(U72="","",+X71/V71)</f>
        <v>0.23606285249770523</v>
      </c>
      <c r="AK71" s="32" t="str">
        <f>IF(OR(AJ71="",AJ71&gt;$AK$13),"NO CUMPLE","CUMPLE")</f>
        <v>CUMPLE</v>
      </c>
      <c r="AL71" s="32">
        <f>IF(AA71=0,"INDET",(IF(U72="","",Z71/AA71)))</f>
        <v>13.522426786999258</v>
      </c>
      <c r="AM71" s="32" t="str">
        <f>IF(OR(AL71="",AL71&lt;$AM$13),"NO CUMPLE","CUMPLE")</f>
        <v>CUMPLE</v>
      </c>
      <c r="AN71" s="32" t="str">
        <f>IF(AND(AG71="CUMPLE",AI71="CUMPLE",AK71="CUMPLE",AM71="CUMPLE",AD71="CUMPLE"),"CUMPLE","NO CUMPLE")</f>
        <v>CUMPLE</v>
      </c>
      <c r="AO71" s="142">
        <f>IF(U72="","",+Z71/Y71)</f>
        <v>4.7599085250476493E-2</v>
      </c>
      <c r="AP71" s="143" t="str">
        <f>IF(OR(AO71="",AO71&lt;$AP$13),"NO CUMPLE","CUMPLE")</f>
        <v>CUMPLE</v>
      </c>
      <c r="AQ71" s="142">
        <f>IF(U72="","",+Z71/V71)</f>
        <v>3.6362709409967567E-2</v>
      </c>
      <c r="AR71" s="143" t="str">
        <f>IF(OR(AQ71="",AQ71&lt;$AR$13),"NO CUMPLE","CUMPLE")</f>
        <v>CUMPLE</v>
      </c>
      <c r="AS71" s="36" t="str">
        <f>IF(U72="","",IF(AND(AP71="CUMPLE",AR71="CUMPLE"),"CUMPLE","NO CUMPLE"))</f>
        <v>CUMPLE</v>
      </c>
      <c r="AT71" s="36" t="s">
        <v>58</v>
      </c>
      <c r="AU71" s="32" t="str">
        <f>IF(U72="","",IF(AND(O71="CUMPLE",AS71="CUMPLE",AN71="CUMPLE",T71="CUMPLE",AT71="CUMPLE"),"CUMPLE","NO CUMPLE"))</f>
        <v>CUMPLE</v>
      </c>
      <c r="AV71" s="37"/>
      <c r="AW71" s="37"/>
    </row>
    <row r="72" spans="4:49" x14ac:dyDescent="0.15">
      <c r="D72" s="38">
        <f>+D71+0.1</f>
        <v>16.100000000000001</v>
      </c>
      <c r="E72" s="39" t="s">
        <v>155</v>
      </c>
      <c r="F72" s="40">
        <v>900241875</v>
      </c>
      <c r="G72" s="41">
        <v>0.6</v>
      </c>
      <c r="H72" s="42"/>
      <c r="I72" s="42"/>
      <c r="J72" s="42"/>
      <c r="K72" s="42"/>
      <c r="L72" s="42"/>
      <c r="M72" s="66"/>
      <c r="N72" s="42"/>
      <c r="O72" s="42"/>
      <c r="P72" s="43">
        <v>46087</v>
      </c>
      <c r="Q72" s="43">
        <v>45754</v>
      </c>
      <c r="R72" s="38" t="str">
        <f>IF((NETWORKDAYS(Q72,P72)-1)&gt;=10,"CUMPLE","NO CUMPLE")</f>
        <v>CUMPLE</v>
      </c>
      <c r="S72" s="38" t="str">
        <f>IF(('[1]DATOS INICIALES'!$C$4-P72)&lt;30,"CUMPLE","NO CUMPLE")</f>
        <v>CUMPLE</v>
      </c>
      <c r="T72" s="38" t="str">
        <f t="shared" si="0"/>
        <v>CUMPLE</v>
      </c>
      <c r="U72" s="44">
        <v>12037051207</v>
      </c>
      <c r="V72" s="44">
        <v>12204499539</v>
      </c>
      <c r="W72" s="44">
        <v>382523581</v>
      </c>
      <c r="X72" s="44">
        <v>2733608510</v>
      </c>
      <c r="Y72" s="44">
        <v>9470891029</v>
      </c>
      <c r="Z72" s="44">
        <v>644938020</v>
      </c>
      <c r="AA72" s="44">
        <v>2819432</v>
      </c>
      <c r="AB72" s="44">
        <f>+U72-W72</f>
        <v>11654527626</v>
      </c>
      <c r="AC72" s="48"/>
      <c r="AD72" s="47"/>
      <c r="AE72" s="67">
        <f>+U72-W72</f>
        <v>11654527626</v>
      </c>
      <c r="AF72" s="47"/>
      <c r="AG72" s="68"/>
      <c r="AH72" s="45"/>
      <c r="AI72" s="45"/>
      <c r="AJ72" s="45"/>
      <c r="AK72" s="45"/>
      <c r="AL72" s="45"/>
      <c r="AM72" s="45"/>
      <c r="AN72" s="46"/>
      <c r="AO72" s="144"/>
      <c r="AP72" s="144"/>
      <c r="AQ72" s="144"/>
      <c r="AR72" s="144"/>
      <c r="AS72" s="46"/>
      <c r="AT72" s="46"/>
      <c r="AU72" s="46"/>
      <c r="AV72" s="47"/>
      <c r="AW72" s="47"/>
    </row>
    <row r="73" spans="4:49" x14ac:dyDescent="0.15">
      <c r="D73" s="38">
        <f>+D72+0.1</f>
        <v>16.200000000000003</v>
      </c>
      <c r="E73" s="39" t="s">
        <v>156</v>
      </c>
      <c r="F73" s="40">
        <v>860031335</v>
      </c>
      <c r="G73" s="41">
        <v>0.4</v>
      </c>
      <c r="H73" s="42"/>
      <c r="I73" s="42"/>
      <c r="J73" s="42"/>
      <c r="K73" s="42"/>
      <c r="L73" s="42"/>
      <c r="M73" s="66"/>
      <c r="N73" s="42"/>
      <c r="O73" s="42"/>
      <c r="P73" s="43">
        <v>46073</v>
      </c>
      <c r="Q73" s="43">
        <v>45782</v>
      </c>
      <c r="R73" s="38" t="str">
        <f>IF((NETWORKDAYS(Q73,P73)-1)&gt;=10,"CUMPLE","NO CUMPLE")</f>
        <v>CUMPLE</v>
      </c>
      <c r="S73" s="38" t="str">
        <f>IF(('[1]DATOS INICIALES'!$C$4-P73)&lt;30,"CUMPLE","NO CUMPLE")</f>
        <v>CUMPLE</v>
      </c>
      <c r="T73" s="38" t="str">
        <f t="shared" si="0"/>
        <v>CUMPLE</v>
      </c>
      <c r="U73" s="44">
        <v>5513298564</v>
      </c>
      <c r="V73" s="44">
        <v>6765485456</v>
      </c>
      <c r="W73" s="44">
        <v>762987399</v>
      </c>
      <c r="X73" s="44">
        <v>1818210492</v>
      </c>
      <c r="Y73" s="44">
        <v>4947274964</v>
      </c>
      <c r="Z73" s="141">
        <v>-55712643</v>
      </c>
      <c r="AA73" s="44">
        <v>63191767</v>
      </c>
      <c r="AB73" s="44">
        <f>+U73-W73</f>
        <v>4750311165</v>
      </c>
      <c r="AC73" s="48"/>
      <c r="AD73" s="47"/>
      <c r="AE73" s="67">
        <f>+U73-W73</f>
        <v>4750311165</v>
      </c>
      <c r="AF73" s="47"/>
      <c r="AG73" s="68"/>
      <c r="AH73" s="45"/>
      <c r="AI73" s="45"/>
      <c r="AJ73" s="45"/>
      <c r="AK73" s="45"/>
      <c r="AL73" s="45"/>
      <c r="AM73" s="45"/>
      <c r="AN73" s="46"/>
      <c r="AO73" s="144"/>
      <c r="AP73" s="144"/>
      <c r="AQ73" s="144"/>
      <c r="AR73" s="144"/>
      <c r="AS73" s="46"/>
      <c r="AT73" s="46"/>
      <c r="AU73" s="46"/>
      <c r="AV73" s="47"/>
      <c r="AW73" s="47"/>
    </row>
    <row r="74" spans="4:49" ht="15" x14ac:dyDescent="0.15">
      <c r="D74" s="62">
        <v>17</v>
      </c>
      <c r="E74" s="63" t="str">
        <f>IF(D74="","",VLOOKUP(D74,'[1]DATOS INICIALES'!$B$10:$D$69,2,0))</f>
        <v>CONSORCIO APPLUS ANI 002</v>
      </c>
      <c r="F74" s="64">
        <f>IF(D74="","",VLOOKUP(D74,'[1]DATOS INICIALES'!$B$10:$D$69,3,0))</f>
        <v>0</v>
      </c>
      <c r="G74" s="65">
        <f>SUM(G75:G76)</f>
        <v>1</v>
      </c>
      <c r="H74" s="64"/>
      <c r="I74" s="30" t="s">
        <v>55</v>
      </c>
      <c r="J74" s="30" t="str">
        <f>IF(I74="SI","CUMPLE", "NO CUMPLE")</f>
        <v>CUMPLE</v>
      </c>
      <c r="K74" s="30" t="s">
        <v>55</v>
      </c>
      <c r="L74" s="30" t="str">
        <f>IF(K74="SI","CUMPLE", "NO CUMPLE")</f>
        <v>CUMPLE</v>
      </c>
      <c r="M74" s="51">
        <f>+IFERROR(VLOOKUP(D74,'[1]DATOS INICIALES'!$B$10:$G$100,6,0),0)</f>
        <v>69477143896</v>
      </c>
      <c r="N74" s="30" t="str">
        <f>IF(M74&lt;='[1]DATOS INICIALES'!$C$6,"CUMPLE","NO CUMPLE")</f>
        <v>CUMPLE</v>
      </c>
      <c r="O74" s="30" t="str">
        <f>IF(AND(J74="CUMPLE",L74="CUMPLE",N74="CUMPLE"),"CUMPLE","NO CUMPLE")</f>
        <v>CUMPLE</v>
      </c>
      <c r="P74" s="31"/>
      <c r="Q74" s="31"/>
      <c r="R74" s="32" t="str">
        <f>IF(AND(R75="CUMPLE",R76="CUMPLE"),"CUMPLE","NO CUMPLE")</f>
        <v>CUMPLE</v>
      </c>
      <c r="S74" s="32" t="str">
        <f>IF(AND(S75="CUMPLE",S76="CUMPLE"),"CUMPLE","NO CUMPLE")</f>
        <v>CUMPLE</v>
      </c>
      <c r="T74" s="32" t="str">
        <f t="shared" si="0"/>
        <v>CUMPLE</v>
      </c>
      <c r="U74" s="33">
        <f t="shared" ref="U74:AB74" si="17">+(U75*$G75)+(U76*$G76)</f>
        <v>9173727600</v>
      </c>
      <c r="V74" s="33">
        <f t="shared" si="17"/>
        <v>16422067600</v>
      </c>
      <c r="W74" s="33">
        <f t="shared" si="17"/>
        <v>2098327200</v>
      </c>
      <c r="X74" s="33">
        <f t="shared" si="17"/>
        <v>2098327200</v>
      </c>
      <c r="Y74" s="33">
        <f t="shared" si="17"/>
        <v>14323740400</v>
      </c>
      <c r="Z74" s="33">
        <f t="shared" si="17"/>
        <v>1686411400</v>
      </c>
      <c r="AA74" s="33">
        <f t="shared" si="17"/>
        <v>105808.8</v>
      </c>
      <c r="AB74" s="34">
        <f t="shared" si="17"/>
        <v>7075400400</v>
      </c>
      <c r="AC74" s="34"/>
      <c r="AD74" s="32" t="str">
        <f>IF(AB74&gt;=$AD$13,"CUMPLE","NO CUMPLE")</f>
        <v>CUMPLE</v>
      </c>
      <c r="AE74" s="75">
        <f>+MAX(AE75:AE76)</f>
        <v>9141140000</v>
      </c>
      <c r="AF74" s="32"/>
      <c r="AG74" s="32" t="str">
        <f>+IF(AE74&gt;=$AG$13,"CUMPLE","NO CUMPLE")</f>
        <v>CUMPLE</v>
      </c>
      <c r="AH74" s="32">
        <f>IF(E74="","",(IF(W74=0,"INDETERMINADO",+U74/W74)))</f>
        <v>4.3719242642424883</v>
      </c>
      <c r="AI74" s="32" t="str">
        <f>IF(OR(AH74="",AH74&lt;$AI$13),"NO CUMPLE","CUMPLE")</f>
        <v>CUMPLE</v>
      </c>
      <c r="AJ74" s="32">
        <f>IF(U75="","",+X74/V74)</f>
        <v>0.12777484852151016</v>
      </c>
      <c r="AK74" s="32" t="str">
        <f>IF(OR(AJ74="",AJ74&gt;$AK$13),"NO CUMPLE","CUMPLE")</f>
        <v>CUMPLE</v>
      </c>
      <c r="AL74" s="32">
        <f>IF(AA74=0,"INDET",(IF(U75="","",Z74/AA74)))</f>
        <v>15938.290576965243</v>
      </c>
      <c r="AM74" s="32" t="str">
        <f>IF(OR(AL74="",AL74&lt;$AM$13),"NO CUMPLE","CUMPLE")</f>
        <v>CUMPLE</v>
      </c>
      <c r="AN74" s="32" t="str">
        <f>IF(AND(AG74="CUMPLE",AI74="CUMPLE",AK74="CUMPLE",AM74="CUMPLE",AD74="CUMPLE"),"CUMPLE","NO CUMPLE")</f>
        <v>CUMPLE</v>
      </c>
      <c r="AO74" s="35">
        <f>IF(U75="","",+Z74/Y74)</f>
        <v>0.11773540659812573</v>
      </c>
      <c r="AP74" s="36" t="str">
        <f>IF(OR(AO74="",AO74&lt;$AP$13),"NO CUMPLE","CUMPLE")</f>
        <v>CUMPLE</v>
      </c>
      <c r="AQ74" s="35">
        <f>IF(U75="","",+Z74/V74)</f>
        <v>0.1026917828544318</v>
      </c>
      <c r="AR74" s="36" t="str">
        <f>IF(OR(AQ74="",AQ74&lt;$AR$13),"NO CUMPLE","CUMPLE")</f>
        <v>CUMPLE</v>
      </c>
      <c r="AS74" s="36" t="str">
        <f>IF(U75="","",IF(AND(AP74="CUMPLE",AR74="CUMPLE"),"CUMPLE","NO CUMPLE"))</f>
        <v>CUMPLE</v>
      </c>
      <c r="AT74" s="36" t="s">
        <v>58</v>
      </c>
      <c r="AU74" s="32" t="str">
        <f>IF(U75="","",IF(AND(O74="CUMPLE",AS74="CUMPLE",AN74="CUMPLE",T74="CUMPLE",AT74="CUMPLE"),"CUMPLE","NO CUMPLE"))</f>
        <v>CUMPLE</v>
      </c>
      <c r="AV74" s="37"/>
      <c r="AW74" s="37"/>
    </row>
    <row r="75" spans="4:49" x14ac:dyDescent="0.15">
      <c r="D75" s="38">
        <f>+D74+0.1</f>
        <v>17.100000000000001</v>
      </c>
      <c r="E75" s="39" t="s">
        <v>157</v>
      </c>
      <c r="F75" s="40">
        <v>900595360</v>
      </c>
      <c r="G75" s="41">
        <v>0.6</v>
      </c>
      <c r="H75" s="42"/>
      <c r="I75" s="42"/>
      <c r="J75" s="42"/>
      <c r="K75" s="42"/>
      <c r="L75" s="42"/>
      <c r="M75" s="66"/>
      <c r="N75" s="42"/>
      <c r="O75" s="42"/>
      <c r="P75" s="43">
        <v>46083</v>
      </c>
      <c r="Q75" s="43">
        <v>45776</v>
      </c>
      <c r="R75" s="38" t="str">
        <f>IF((NETWORKDAYS(Q75,P75)-1)&gt;=10,"CUMPLE","NO CUMPLE")</f>
        <v>CUMPLE</v>
      </c>
      <c r="S75" s="38" t="str">
        <f>IF(('[1]DATOS INICIALES'!$C$4-P75)&lt;30,"CUMPLE","NO CUMPLE")</f>
        <v>CUMPLE</v>
      </c>
      <c r="T75" s="38" t="str">
        <f t="shared" si="0"/>
        <v>CUMPLE</v>
      </c>
      <c r="U75" s="44">
        <v>11983822000</v>
      </c>
      <c r="V75" s="44">
        <v>22992858000</v>
      </c>
      <c r="W75" s="44">
        <v>2842682000</v>
      </c>
      <c r="X75" s="44">
        <v>2842682000</v>
      </c>
      <c r="Y75" s="44">
        <v>20150176000</v>
      </c>
      <c r="Z75" s="44">
        <v>2640223000</v>
      </c>
      <c r="AA75" s="44">
        <v>69000</v>
      </c>
      <c r="AB75" s="44">
        <f>+U75-W75</f>
        <v>9141140000</v>
      </c>
      <c r="AC75" s="48"/>
      <c r="AD75" s="47"/>
      <c r="AE75" s="67">
        <f>+U75-W75</f>
        <v>9141140000</v>
      </c>
      <c r="AF75" s="47"/>
      <c r="AG75" s="68"/>
      <c r="AH75" s="45"/>
      <c r="AI75" s="45"/>
      <c r="AJ75" s="45"/>
      <c r="AK75" s="45"/>
      <c r="AL75" s="45"/>
      <c r="AM75" s="45"/>
      <c r="AN75" s="46"/>
      <c r="AO75" s="47"/>
      <c r="AP75" s="47"/>
      <c r="AQ75" s="47"/>
      <c r="AR75" s="47"/>
      <c r="AS75" s="46"/>
      <c r="AT75" s="46"/>
      <c r="AU75" s="46"/>
      <c r="AV75" s="47"/>
      <c r="AW75" s="47"/>
    </row>
    <row r="76" spans="4:49" x14ac:dyDescent="0.15">
      <c r="D76" s="38">
        <f>+D75+0.1</f>
        <v>17.200000000000003</v>
      </c>
      <c r="E76" s="39" t="s">
        <v>158</v>
      </c>
      <c r="F76" s="40">
        <v>901135902</v>
      </c>
      <c r="G76" s="41">
        <v>0.4</v>
      </c>
      <c r="H76" s="42"/>
      <c r="I76" s="42"/>
      <c r="J76" s="42"/>
      <c r="K76" s="42"/>
      <c r="L76" s="42"/>
      <c r="M76" s="66"/>
      <c r="N76" s="42"/>
      <c r="O76" s="42"/>
      <c r="P76" s="43">
        <v>46083</v>
      </c>
      <c r="Q76" s="43">
        <v>45762</v>
      </c>
      <c r="R76" s="38" t="str">
        <f>IF((NETWORKDAYS(Q76,P76)-1)&gt;=10,"CUMPLE","NO CUMPLE")</f>
        <v>CUMPLE</v>
      </c>
      <c r="S76" s="38" t="str">
        <f>IF(('[1]DATOS INICIALES'!$C$4-P76)&lt;30,"CUMPLE","NO CUMPLE")</f>
        <v>CUMPLE</v>
      </c>
      <c r="T76" s="38" t="str">
        <f t="shared" si="0"/>
        <v>CUMPLE</v>
      </c>
      <c r="U76" s="44">
        <v>4958586000</v>
      </c>
      <c r="V76" s="44">
        <v>6565882000</v>
      </c>
      <c r="W76" s="44">
        <v>981795000</v>
      </c>
      <c r="X76" s="44">
        <v>981795000</v>
      </c>
      <c r="Y76" s="44">
        <v>5584087000</v>
      </c>
      <c r="Z76" s="44">
        <v>255694000</v>
      </c>
      <c r="AA76" s="44">
        <v>161022</v>
      </c>
      <c r="AB76" s="44">
        <f>+U76-W76</f>
        <v>3976791000</v>
      </c>
      <c r="AC76" s="48"/>
      <c r="AD76" s="47"/>
      <c r="AE76" s="67">
        <f>+U76-W76</f>
        <v>3976791000</v>
      </c>
      <c r="AF76" s="47"/>
      <c r="AG76" s="68"/>
      <c r="AH76" s="45"/>
      <c r="AI76" s="45"/>
      <c r="AJ76" s="45"/>
      <c r="AK76" s="45"/>
      <c r="AL76" s="45"/>
      <c r="AM76" s="45"/>
      <c r="AN76" s="46"/>
      <c r="AO76" s="47"/>
      <c r="AP76" s="47"/>
      <c r="AQ76" s="47"/>
      <c r="AR76" s="47"/>
      <c r="AS76" s="46"/>
      <c r="AT76" s="46"/>
      <c r="AU76" s="46"/>
      <c r="AV76" s="47"/>
      <c r="AW76" s="47"/>
    </row>
    <row r="77" spans="4:49" ht="15" x14ac:dyDescent="0.15">
      <c r="D77" s="62">
        <v>18</v>
      </c>
      <c r="E77" s="63" t="str">
        <f>IF(D77="","",VLOOKUP(D77,'[1]DATOS INICIALES'!$B$10:$D$69,2,0))</f>
        <v>CONSORCIO INTERVIAL RJ</v>
      </c>
      <c r="F77" s="64">
        <f>IF(D77="","",VLOOKUP(D77,'[1]DATOS INICIALES'!$B$10:$D$69,3,0))</f>
        <v>0</v>
      </c>
      <c r="G77" s="65">
        <f>SUM(G78:G80)</f>
        <v>1</v>
      </c>
      <c r="H77" s="64"/>
      <c r="I77" s="30" t="s">
        <v>55</v>
      </c>
      <c r="J77" s="30" t="str">
        <f>IF(I77="SI","CUMPLE", "NO CUMPLE")</f>
        <v>CUMPLE</v>
      </c>
      <c r="K77" s="30" t="s">
        <v>55</v>
      </c>
      <c r="L77" s="30" t="str">
        <f>IF(K77="SI","CUMPLE", "NO CUMPLE")</f>
        <v>CUMPLE</v>
      </c>
      <c r="M77" s="51">
        <f>+IFERROR(VLOOKUP(D77,'[1]DATOS INICIALES'!$B$10:$G$100,6,0),0)</f>
        <v>69477143880</v>
      </c>
      <c r="N77" s="30" t="str">
        <f>IF(M77&lt;='[1]DATOS INICIALES'!$C$6,"CUMPLE","NO CUMPLE")</f>
        <v>CUMPLE</v>
      </c>
      <c r="O77" s="30" t="str">
        <f>IF(AND(J77="CUMPLE",L77="CUMPLE",N77="CUMPLE"),"CUMPLE","NO CUMPLE")</f>
        <v>CUMPLE</v>
      </c>
      <c r="P77" s="31"/>
      <c r="Q77" s="31"/>
      <c r="R77" s="32" t="str">
        <f>IF(AND(R78="CUMPLE",R79="CUMPLE",R80="CUMPLE"),"CUMPLE","NO CUMPLE")</f>
        <v>CUMPLE</v>
      </c>
      <c r="S77" s="32" t="str">
        <f>IF(AND(S78="CUMPLE",S79="CUMPLE",S80="CUMPLE"),"CUMPLE","NO CUMPLE")</f>
        <v>CUMPLE</v>
      </c>
      <c r="T77" s="32" t="str">
        <f t="shared" si="0"/>
        <v>CUMPLE</v>
      </c>
      <c r="U77" s="33">
        <f t="shared" ref="U77:AB77" si="18">+(U78*$G78)+(U79*$G79)+(U80*$G80)</f>
        <v>47562578367.800003</v>
      </c>
      <c r="V77" s="33">
        <f t="shared" si="18"/>
        <v>55288592649</v>
      </c>
      <c r="W77" s="33">
        <f t="shared" si="18"/>
        <v>18017788893.700001</v>
      </c>
      <c r="X77" s="33">
        <f t="shared" si="18"/>
        <v>26227299530.900002</v>
      </c>
      <c r="Y77" s="33">
        <f t="shared" si="18"/>
        <v>29061293118.099998</v>
      </c>
      <c r="Z77" s="33">
        <f t="shared" si="18"/>
        <v>8512627399.3000002</v>
      </c>
      <c r="AA77" s="33">
        <f t="shared" si="18"/>
        <v>943666119.20000005</v>
      </c>
      <c r="AB77" s="34">
        <f t="shared" si="18"/>
        <v>29544789474.099998</v>
      </c>
      <c r="AC77" s="34"/>
      <c r="AD77" s="32" t="str">
        <f>IF(AB77&gt;=$AD$13,"CUMPLE","NO CUMPLE")</f>
        <v>CUMPLE</v>
      </c>
      <c r="AE77" s="75">
        <f>+MAX(AE78:AE80)</f>
        <v>124771090955</v>
      </c>
      <c r="AF77" s="32"/>
      <c r="AG77" s="32" t="str">
        <f>+IF(AE77&gt;=$AG$13,"CUMPLE","NO CUMPLE")</f>
        <v>CUMPLE</v>
      </c>
      <c r="AH77" s="32">
        <f>IF(E77="","",(IF(W77=0,"INDETERMINADO",+U77/W77)))</f>
        <v>2.6397566676136641</v>
      </c>
      <c r="AI77" s="32" t="str">
        <f>IF(OR(AH77="",AH77&lt;$AI$13),"NO CUMPLE","CUMPLE")</f>
        <v>CUMPLE</v>
      </c>
      <c r="AJ77" s="32">
        <f>IF(U78="","",+X77/V77)</f>
        <v>0.47437090137931687</v>
      </c>
      <c r="AK77" s="32" t="str">
        <f>IF(OR(AJ77="",AJ77&gt;$AK$13),"NO CUMPLE","CUMPLE")</f>
        <v>CUMPLE</v>
      </c>
      <c r="AL77" s="32">
        <f>IF(AA77=0,"INDET",(IF(U78="","",Z77/AA77)))</f>
        <v>9.0208043142596281</v>
      </c>
      <c r="AM77" s="32" t="str">
        <f>IF(OR(AL77="",AL77&lt;$AM$13),"NO CUMPLE","CUMPLE")</f>
        <v>CUMPLE</v>
      </c>
      <c r="AN77" s="32" t="str">
        <f>IF(AND(AG77="CUMPLE",AI77="CUMPLE",AK77="CUMPLE",AM77="CUMPLE",AD77="CUMPLE"),"CUMPLE","NO CUMPLE")</f>
        <v>CUMPLE</v>
      </c>
      <c r="AO77" s="35">
        <f>IF(U78="","",+Z77/Y77)</f>
        <v>0.29291977355261434</v>
      </c>
      <c r="AP77" s="36" t="str">
        <f>IF(OR(AO77="",AO77&lt;$AP$13),"NO CUMPLE","CUMPLE")</f>
        <v>CUMPLE</v>
      </c>
      <c r="AQ77" s="35">
        <f>IF(U78="","",+Z77/V77)</f>
        <v>0.15396715654063528</v>
      </c>
      <c r="AR77" s="36" t="str">
        <f>IF(OR(AQ77="",AQ77&lt;$AR$13),"NO CUMPLE","CUMPLE")</f>
        <v>CUMPLE</v>
      </c>
      <c r="AS77" s="36" t="str">
        <f>IF(U78="","",IF(AND(AP77="CUMPLE",AR77="CUMPLE"),"CUMPLE","NO CUMPLE"))</f>
        <v>CUMPLE</v>
      </c>
      <c r="AT77" s="36" t="s">
        <v>58</v>
      </c>
      <c r="AU77" s="32" t="str">
        <f>IF(U78="","",IF(AND(O77="CUMPLE",AS77="CUMPLE",AN77="CUMPLE",T77="CUMPLE",AT77="CUMPLE"),"CUMPLE","NO CUMPLE"))</f>
        <v>CUMPLE</v>
      </c>
      <c r="AV77" s="37"/>
      <c r="AW77" s="37"/>
    </row>
    <row r="78" spans="4:49" x14ac:dyDescent="0.15">
      <c r="D78" s="38">
        <f>+D77+0.1</f>
        <v>18.100000000000001</v>
      </c>
      <c r="E78" s="39" t="s">
        <v>159</v>
      </c>
      <c r="F78" s="40">
        <v>901683806</v>
      </c>
      <c r="G78" s="41">
        <v>0.3</v>
      </c>
      <c r="H78" s="42"/>
      <c r="I78" s="42"/>
      <c r="J78" s="42"/>
      <c r="K78" s="42"/>
      <c r="L78" s="42"/>
      <c r="M78" s="66"/>
      <c r="N78" s="42"/>
      <c r="O78" s="42"/>
      <c r="P78" s="43">
        <v>46076</v>
      </c>
      <c r="Q78" s="43">
        <v>45779</v>
      </c>
      <c r="R78" s="38" t="str">
        <f>IF((NETWORKDAYS(Q78,P78)-1)&gt;=10,"CUMPLE","NO CUMPLE")</f>
        <v>CUMPLE</v>
      </c>
      <c r="S78" s="38" t="str">
        <f>IF(('[1]DATOS INICIALES'!$C$4-P78)&lt;30,"CUMPLE","NO CUMPLE")</f>
        <v>CUMPLE</v>
      </c>
      <c r="T78" s="38" t="str">
        <f t="shared" si="0"/>
        <v>CUMPLE</v>
      </c>
      <c r="U78" s="44">
        <v>1491141310</v>
      </c>
      <c r="V78" s="44">
        <v>1491141310</v>
      </c>
      <c r="W78" s="44">
        <v>480912033</v>
      </c>
      <c r="X78" s="44">
        <v>480912033</v>
      </c>
      <c r="Y78" s="44">
        <v>1010229277</v>
      </c>
      <c r="Z78" s="44">
        <v>24674311</v>
      </c>
      <c r="AA78" s="44">
        <v>0</v>
      </c>
      <c r="AB78" s="44">
        <f>+U78-W78</f>
        <v>1010229277</v>
      </c>
      <c r="AC78" s="48"/>
      <c r="AD78" s="47"/>
      <c r="AE78" s="67">
        <f>+U78-W78</f>
        <v>1010229277</v>
      </c>
      <c r="AF78" s="47"/>
      <c r="AG78" s="68"/>
      <c r="AH78" s="45"/>
      <c r="AI78" s="45"/>
      <c r="AJ78" s="45"/>
      <c r="AK78" s="45"/>
      <c r="AL78" s="45"/>
      <c r="AM78" s="45"/>
      <c r="AN78" s="46"/>
      <c r="AO78" s="47"/>
      <c r="AP78" s="47"/>
      <c r="AQ78" s="47"/>
      <c r="AR78" s="47"/>
      <c r="AS78" s="46"/>
      <c r="AT78" s="46"/>
      <c r="AU78" s="46"/>
      <c r="AV78" s="47"/>
      <c r="AW78" s="47"/>
    </row>
    <row r="79" spans="4:49" x14ac:dyDescent="0.15">
      <c r="D79" s="38">
        <f>+D78+0.1</f>
        <v>18.200000000000003</v>
      </c>
      <c r="E79" s="39" t="s">
        <v>160</v>
      </c>
      <c r="F79" s="40">
        <v>900508277</v>
      </c>
      <c r="G79" s="41">
        <v>0.2</v>
      </c>
      <c r="H79" s="42"/>
      <c r="I79" s="42"/>
      <c r="J79" s="42"/>
      <c r="K79" s="42"/>
      <c r="L79" s="42"/>
      <c r="M79" s="66"/>
      <c r="N79" s="42"/>
      <c r="O79" s="42"/>
      <c r="P79" s="43">
        <v>46076</v>
      </c>
      <c r="Q79" s="43">
        <v>45777</v>
      </c>
      <c r="R79" s="38" t="str">
        <f>IF((NETWORKDAYS(Q79,P79)-1)&gt;=10,"CUMPLE","NO CUMPLE")</f>
        <v>CUMPLE</v>
      </c>
      <c r="S79" s="38" t="str">
        <f>IF(('[1]DATOS INICIALES'!$C$4-P79)&lt;30,"CUMPLE","NO CUMPLE")</f>
        <v>CUMPLE</v>
      </c>
      <c r="T79" s="38" t="str">
        <f t="shared" si="0"/>
        <v>CUMPLE</v>
      </c>
      <c r="U79" s="44">
        <v>183600114874</v>
      </c>
      <c r="V79" s="44">
        <v>215079638780</v>
      </c>
      <c r="W79" s="44">
        <v>58829023919</v>
      </c>
      <c r="X79" s="44">
        <v>97543109605</v>
      </c>
      <c r="Y79" s="44">
        <v>117536529175</v>
      </c>
      <c r="Z79" s="44">
        <v>36732508030</v>
      </c>
      <c r="AA79" s="44">
        <v>2815535596</v>
      </c>
      <c r="AB79" s="44">
        <f>+U79-W79</f>
        <v>124771090955</v>
      </c>
      <c r="AC79" s="48"/>
      <c r="AD79" s="47"/>
      <c r="AE79" s="67">
        <f>+U79-W79</f>
        <v>124771090955</v>
      </c>
      <c r="AF79" s="47"/>
      <c r="AG79" s="68"/>
      <c r="AH79" s="45"/>
      <c r="AI79" s="45"/>
      <c r="AJ79" s="45"/>
      <c r="AK79" s="45"/>
      <c r="AL79" s="45"/>
      <c r="AM79" s="45"/>
      <c r="AN79" s="46"/>
      <c r="AO79" s="47"/>
      <c r="AP79" s="47"/>
      <c r="AQ79" s="47"/>
      <c r="AR79" s="47"/>
      <c r="AS79" s="46"/>
      <c r="AT79" s="46"/>
      <c r="AU79" s="46"/>
      <c r="AV79" s="47"/>
      <c r="AW79" s="47"/>
    </row>
    <row r="80" spans="4:49" x14ac:dyDescent="0.15">
      <c r="D80" s="38">
        <f>+D79+0.1</f>
        <v>18.300000000000004</v>
      </c>
      <c r="E80" s="39" t="s">
        <v>161</v>
      </c>
      <c r="F80" s="40">
        <v>860067561</v>
      </c>
      <c r="G80" s="41">
        <v>0.5</v>
      </c>
      <c r="H80" s="42"/>
      <c r="I80" s="42"/>
      <c r="J80" s="42"/>
      <c r="K80" s="42"/>
      <c r="L80" s="42"/>
      <c r="M80" s="66"/>
      <c r="N80" s="42"/>
      <c r="O80" s="42"/>
      <c r="P80" s="43">
        <v>46084</v>
      </c>
      <c r="Q80" s="43">
        <v>45775</v>
      </c>
      <c r="R80" s="38" t="str">
        <f>IF((NETWORKDAYS(Q80,P80)-1)&gt;=10,"CUMPLE","NO CUMPLE")</f>
        <v>CUMPLE</v>
      </c>
      <c r="S80" s="38" t="str">
        <f>IF(('[1]DATOS INICIALES'!$C$4-P80)&lt;30,"CUMPLE","NO CUMPLE")</f>
        <v>CUMPLE</v>
      </c>
      <c r="T80" s="38" t="str">
        <f t="shared" ref="T80:T143" si="19">IF(AND(R80="CUMPLE",S80="CUMPLE"),"CUMPLE","NO CUMPLE")</f>
        <v>CUMPLE</v>
      </c>
      <c r="U80" s="44">
        <v>20790426000</v>
      </c>
      <c r="V80" s="44">
        <v>23650645000</v>
      </c>
      <c r="W80" s="44">
        <v>12215421000</v>
      </c>
      <c r="X80" s="44">
        <v>13148808000</v>
      </c>
      <c r="Y80" s="44">
        <v>10501837000</v>
      </c>
      <c r="Z80" s="44">
        <v>2317447000</v>
      </c>
      <c r="AA80" s="44">
        <v>761118000</v>
      </c>
      <c r="AB80" s="44">
        <f>+U80-W80</f>
        <v>8575005000</v>
      </c>
      <c r="AC80" s="48"/>
      <c r="AD80" s="47"/>
      <c r="AE80" s="67">
        <f>+U80-W80</f>
        <v>8575005000</v>
      </c>
      <c r="AF80" s="47"/>
      <c r="AG80" s="68"/>
      <c r="AH80" s="45"/>
      <c r="AI80" s="45"/>
      <c r="AJ80" s="45"/>
      <c r="AK80" s="45"/>
      <c r="AL80" s="45"/>
      <c r="AM80" s="45"/>
      <c r="AN80" s="46"/>
      <c r="AO80" s="47"/>
      <c r="AP80" s="47"/>
      <c r="AQ80" s="47"/>
      <c r="AR80" s="47"/>
      <c r="AS80" s="46"/>
      <c r="AT80" s="46"/>
      <c r="AU80" s="46"/>
      <c r="AV80" s="47"/>
      <c r="AW80" s="47"/>
    </row>
    <row r="81" spans="4:49" ht="15" x14ac:dyDescent="0.15">
      <c r="D81" s="62">
        <v>19</v>
      </c>
      <c r="E81" s="63" t="str">
        <f>IF(D81="","",VLOOKUP(D81,'[1]DATOS INICIALES'!$B$10:$D$69,2,0))</f>
        <v>CONSORCIO EVOLUCION</v>
      </c>
      <c r="F81" s="64">
        <f>IF(D81="","",VLOOKUP(D81,'[1]DATOS INICIALES'!$B$10:$D$69,3,0))</f>
        <v>0</v>
      </c>
      <c r="G81" s="65">
        <f>SUM(G82:G83)</f>
        <v>1</v>
      </c>
      <c r="H81" s="64"/>
      <c r="I81" s="30" t="s">
        <v>55</v>
      </c>
      <c r="J81" s="30" t="str">
        <f>IF(I81="SI","CUMPLE", "NO CUMPLE")</f>
        <v>CUMPLE</v>
      </c>
      <c r="K81" s="30" t="s">
        <v>55</v>
      </c>
      <c r="L81" s="30" t="str">
        <f>IF(K81="SI","CUMPLE", "NO CUMPLE")</f>
        <v>CUMPLE</v>
      </c>
      <c r="M81" s="51">
        <f>+IFERROR(VLOOKUP(D81,'[1]DATOS INICIALES'!$B$10:$G$100,6,0),0)</f>
        <v>69477143896</v>
      </c>
      <c r="N81" s="30" t="str">
        <f>IF(M81&lt;='[1]DATOS INICIALES'!$C$6,"CUMPLE","NO CUMPLE")</f>
        <v>CUMPLE</v>
      </c>
      <c r="O81" s="30" t="str">
        <f>IF(AND(J81="CUMPLE",L81="CUMPLE",N81="CUMPLE"),"CUMPLE","NO CUMPLE")</f>
        <v>CUMPLE</v>
      </c>
      <c r="P81" s="31"/>
      <c r="Q81" s="31"/>
      <c r="R81" s="32" t="str">
        <f>IF(AND(R82="CUMPLE",R83="CUMPLE"),"CUMPLE","NO CUMPLE")</f>
        <v>CUMPLE</v>
      </c>
      <c r="S81" s="32" t="str">
        <f>IF(AND(S82="CUMPLE",S83="CUMPLE"),"CUMPLE","NO CUMPLE")</f>
        <v>CUMPLE</v>
      </c>
      <c r="T81" s="32" t="str">
        <f t="shared" si="19"/>
        <v>CUMPLE</v>
      </c>
      <c r="U81" s="33">
        <f t="shared" ref="U81:AB81" si="20">+(U82*$G82)+(U83*$G83)</f>
        <v>13921994399.5</v>
      </c>
      <c r="V81" s="33">
        <f t="shared" si="20"/>
        <v>14368318946.5</v>
      </c>
      <c r="W81" s="33">
        <f t="shared" si="20"/>
        <v>1047135091</v>
      </c>
      <c r="X81" s="33">
        <f t="shared" si="20"/>
        <v>1557706833.5</v>
      </c>
      <c r="Y81" s="33">
        <f t="shared" si="20"/>
        <v>12810612113</v>
      </c>
      <c r="Z81" s="33">
        <f t="shared" si="20"/>
        <v>436500240</v>
      </c>
      <c r="AA81" s="33">
        <f t="shared" si="20"/>
        <v>21397381.5</v>
      </c>
      <c r="AB81" s="34">
        <f t="shared" si="20"/>
        <v>12874859308.5</v>
      </c>
      <c r="AC81" s="34"/>
      <c r="AD81" s="32" t="str">
        <f>IF(AB81&gt;=$AD$13,"CUMPLE","NO CUMPLE")</f>
        <v>CUMPLE</v>
      </c>
      <c r="AE81" s="75">
        <f>+MAX(AE82:AE83)</f>
        <v>21368133000</v>
      </c>
      <c r="AF81" s="32"/>
      <c r="AG81" s="32" t="str">
        <f>+IF(AE81&gt;=$AG$13,"CUMPLE","NO CUMPLE")</f>
        <v>CUMPLE</v>
      </c>
      <c r="AH81" s="32">
        <f>IF(E81="","",(IF(W81=0,"INDETERMINADO",+U81/W81)))</f>
        <v>13.295318358784712</v>
      </c>
      <c r="AI81" s="32" t="str">
        <f>IF(OR(AH81="",AH81&lt;$AI$13),"NO CUMPLE","CUMPLE")</f>
        <v>CUMPLE</v>
      </c>
      <c r="AJ81" s="32">
        <f>IF(U82="","",+X81/V81)</f>
        <v>0.10841260131404892</v>
      </c>
      <c r="AK81" s="32" t="str">
        <f>IF(OR(AJ81="",AJ81&gt;$AK$13),"NO CUMPLE","CUMPLE")</f>
        <v>CUMPLE</v>
      </c>
      <c r="AL81" s="32">
        <f>IF(AA81=0,"INDET",(IF(U82="","",Z81/AA81)))</f>
        <v>20.3997035805526</v>
      </c>
      <c r="AM81" s="32" t="str">
        <f>IF(OR(AL81="",AL81&lt;$AM$13),"NO CUMPLE","CUMPLE")</f>
        <v>CUMPLE</v>
      </c>
      <c r="AN81" s="32" t="str">
        <f>IF(AND(AG81="CUMPLE",AI81="CUMPLE",AK81="CUMPLE",AM81="CUMPLE",AD81="CUMPLE"),"CUMPLE","NO CUMPLE")</f>
        <v>CUMPLE</v>
      </c>
      <c r="AO81" s="35">
        <f>IF(U82="","",+Z81/Y81)</f>
        <v>3.407333202736243E-2</v>
      </c>
      <c r="AP81" s="36" t="str">
        <f>IF(OR(AO81="",AO81&lt;$AP$13),"NO CUMPLE","CUMPLE")</f>
        <v>CUMPLE</v>
      </c>
      <c r="AQ81" s="35">
        <f>IF(U82="","",+Z81/V81)</f>
        <v>3.0379353466838774E-2</v>
      </c>
      <c r="AR81" s="36" t="str">
        <f>IF(OR(AQ81="",AQ81&lt;$AR$13),"NO CUMPLE","CUMPLE")</f>
        <v>CUMPLE</v>
      </c>
      <c r="AS81" s="36" t="str">
        <f>IF(U82="","",IF(AND(AP81="CUMPLE",AR81="CUMPLE"),"CUMPLE","NO CUMPLE"))</f>
        <v>CUMPLE</v>
      </c>
      <c r="AT81" s="36" t="s">
        <v>58</v>
      </c>
      <c r="AU81" s="32" t="str">
        <f>IF(U82="","",IF(AND(O81="CUMPLE",AS81="CUMPLE",AN81="CUMPLE",T81="CUMPLE",AT81="CUMPLE"),"CUMPLE","NO CUMPLE"))</f>
        <v>CUMPLE</v>
      </c>
      <c r="AV81" s="37"/>
      <c r="AW81" s="37"/>
    </row>
    <row r="82" spans="4:49" x14ac:dyDescent="0.15">
      <c r="D82" s="38">
        <f>+D81+0.1</f>
        <v>19.100000000000001</v>
      </c>
      <c r="E82" s="39" t="s">
        <v>162</v>
      </c>
      <c r="F82" s="40">
        <v>802008390</v>
      </c>
      <c r="G82" s="41">
        <v>0.5</v>
      </c>
      <c r="H82" s="42"/>
      <c r="I82" s="42"/>
      <c r="J82" s="42"/>
      <c r="K82" s="42"/>
      <c r="L82" s="42"/>
      <c r="M82" s="66"/>
      <c r="N82" s="42"/>
      <c r="O82" s="42"/>
      <c r="P82" s="43">
        <v>46080</v>
      </c>
      <c r="Q82" s="43">
        <v>45763</v>
      </c>
      <c r="R82" s="38" t="str">
        <f>IF((NETWORKDAYS(Q82,P82)-1)&gt;=10,"CUMPLE","NO CUMPLE")</f>
        <v>CUMPLE</v>
      </c>
      <c r="S82" s="38" t="str">
        <f>IF(('[1]DATOS INICIALES'!$C$4-P82)&lt;30,"CUMPLE","NO CUMPLE")</f>
        <v>CUMPLE</v>
      </c>
      <c r="T82" s="38" t="str">
        <f t="shared" si="19"/>
        <v>CUMPLE</v>
      </c>
      <c r="U82" s="44">
        <v>4767912799</v>
      </c>
      <c r="V82" s="44">
        <v>5557017893</v>
      </c>
      <c r="W82" s="44">
        <v>386327182</v>
      </c>
      <c r="X82" s="44">
        <v>467511667</v>
      </c>
      <c r="Y82" s="44">
        <v>5089506226</v>
      </c>
      <c r="Z82" s="44">
        <v>610207480</v>
      </c>
      <c r="AA82" s="44">
        <v>35896763</v>
      </c>
      <c r="AB82" s="44">
        <f>+U82-W82</f>
        <v>4381585617</v>
      </c>
      <c r="AC82" s="48"/>
      <c r="AD82" s="47"/>
      <c r="AE82" s="67">
        <f>+U82-W82</f>
        <v>4381585617</v>
      </c>
      <c r="AF82" s="47"/>
      <c r="AG82" s="68"/>
      <c r="AH82" s="45"/>
      <c r="AI82" s="45"/>
      <c r="AJ82" s="45"/>
      <c r="AK82" s="45"/>
      <c r="AL82" s="45"/>
      <c r="AM82" s="45"/>
      <c r="AN82" s="46"/>
      <c r="AO82" s="47"/>
      <c r="AP82" s="47"/>
      <c r="AQ82" s="47"/>
      <c r="AR82" s="47"/>
      <c r="AS82" s="46"/>
      <c r="AT82" s="46"/>
      <c r="AU82" s="46"/>
      <c r="AV82" s="47"/>
      <c r="AW82" s="47"/>
    </row>
    <row r="83" spans="4:49" x14ac:dyDescent="0.15">
      <c r="D83" s="38">
        <f>+D82+0.1</f>
        <v>19.200000000000003</v>
      </c>
      <c r="E83" s="39" t="s">
        <v>163</v>
      </c>
      <c r="F83" s="40">
        <v>890116722</v>
      </c>
      <c r="G83" s="41">
        <v>0.5</v>
      </c>
      <c r="H83" s="42"/>
      <c r="I83" s="42"/>
      <c r="J83" s="42"/>
      <c r="K83" s="42"/>
      <c r="L83" s="42"/>
      <c r="M83" s="66"/>
      <c r="N83" s="42"/>
      <c r="O83" s="42"/>
      <c r="P83" s="43">
        <v>46080</v>
      </c>
      <c r="Q83" s="43">
        <v>45754</v>
      </c>
      <c r="R83" s="38" t="str">
        <f>IF((NETWORKDAYS(Q83,P83)-1)&gt;=10,"CUMPLE","NO CUMPLE")</f>
        <v>CUMPLE</v>
      </c>
      <c r="S83" s="38" t="str">
        <f>IF(('[1]DATOS INICIALES'!$C$4-P83)&lt;30,"CUMPLE","NO CUMPLE")</f>
        <v>CUMPLE</v>
      </c>
      <c r="T83" s="38" t="str">
        <f t="shared" si="19"/>
        <v>CUMPLE</v>
      </c>
      <c r="U83" s="44">
        <v>23076076000</v>
      </c>
      <c r="V83" s="44">
        <v>23179620000</v>
      </c>
      <c r="W83" s="44">
        <v>1707943000</v>
      </c>
      <c r="X83" s="44">
        <v>2647902000</v>
      </c>
      <c r="Y83" s="44">
        <v>20531718000</v>
      </c>
      <c r="Z83" s="44">
        <v>262793000</v>
      </c>
      <c r="AA83" s="44">
        <v>6898000</v>
      </c>
      <c r="AB83" s="44">
        <f>+U83-W83</f>
        <v>21368133000</v>
      </c>
      <c r="AC83" s="48"/>
      <c r="AD83" s="47"/>
      <c r="AE83" s="67">
        <f>+U83-W83</f>
        <v>21368133000</v>
      </c>
      <c r="AF83" s="47"/>
      <c r="AG83" s="68"/>
      <c r="AH83" s="45"/>
      <c r="AI83" s="45"/>
      <c r="AJ83" s="45"/>
      <c r="AK83" s="45"/>
      <c r="AL83" s="45"/>
      <c r="AM83" s="45"/>
      <c r="AN83" s="46"/>
      <c r="AO83" s="47"/>
      <c r="AP83" s="47"/>
      <c r="AQ83" s="47"/>
      <c r="AR83" s="47"/>
      <c r="AS83" s="46"/>
      <c r="AT83" s="46"/>
      <c r="AU83" s="46"/>
      <c r="AV83" s="47"/>
      <c r="AW83" s="47"/>
    </row>
    <row r="84" spans="4:49" ht="15" x14ac:dyDescent="0.15">
      <c r="D84" s="62">
        <v>20</v>
      </c>
      <c r="E84" s="63" t="str">
        <f>IF(D84="","",VLOOKUP(D84,'[1]DATOS INICIALES'!$B$10:$D$69,2,0))</f>
        <v>CONSORCIO INTERVENTOR ESTANQUILLO H-H</v>
      </c>
      <c r="F84" s="64">
        <f>IF(D84="","",VLOOKUP(D84,'[1]DATOS INICIALES'!$B$10:$D$69,3,0))</f>
        <v>0</v>
      </c>
      <c r="G84" s="65">
        <f>SUM(G85:G87)</f>
        <v>1</v>
      </c>
      <c r="H84" s="64"/>
      <c r="I84" s="30" t="s">
        <v>55</v>
      </c>
      <c r="J84" s="30" t="str">
        <f>IF(I84="SI","CUMPLE", "NO CUMPLE")</f>
        <v>CUMPLE</v>
      </c>
      <c r="K84" s="30" t="s">
        <v>55</v>
      </c>
      <c r="L84" s="30" t="str">
        <f>IF(K84="SI","CUMPLE", "NO CUMPLE")</f>
        <v>CUMPLE</v>
      </c>
      <c r="M84" s="51">
        <f>+IFERROR(VLOOKUP(D84,'[1]DATOS INICIALES'!$B$10:$G$100,6,0),0)</f>
        <v>69477143880</v>
      </c>
      <c r="N84" s="30" t="str">
        <f>IF(M84&lt;='[1]DATOS INICIALES'!$C$6,"CUMPLE","NO CUMPLE")</f>
        <v>CUMPLE</v>
      </c>
      <c r="O84" s="30" t="str">
        <f>IF(AND(J84="CUMPLE",L84="CUMPLE",N84="CUMPLE"),"CUMPLE","NO CUMPLE")</f>
        <v>CUMPLE</v>
      </c>
      <c r="P84" s="31"/>
      <c r="Q84" s="31"/>
      <c r="R84" s="32" t="str">
        <f>IF(AND(R85="CUMPLE",R86="CUMPLE",R87="CUMPLE"),"CUMPLE","NO CUMPLE")</f>
        <v>CUMPLE</v>
      </c>
      <c r="S84" s="32" t="str">
        <f>IF(AND(S85="CUMPLE",S86="CUMPLE",S87="CUMPLE"),"CUMPLE","NO CUMPLE")</f>
        <v>CUMPLE</v>
      </c>
      <c r="T84" s="32" t="str">
        <f t="shared" si="19"/>
        <v>CUMPLE</v>
      </c>
      <c r="U84" s="33">
        <f t="shared" ref="U84:AB84" si="21">+(U85*$G85)+(U86*$G86)+(U87*$G87)</f>
        <v>9431555199.8999996</v>
      </c>
      <c r="V84" s="33">
        <f t="shared" si="21"/>
        <v>9579135042.3999996</v>
      </c>
      <c r="W84" s="33">
        <f t="shared" si="21"/>
        <v>2636425253.0999999</v>
      </c>
      <c r="X84" s="33">
        <f t="shared" si="21"/>
        <v>2941975354</v>
      </c>
      <c r="Y84" s="33">
        <f t="shared" si="21"/>
        <v>6637159688.3999996</v>
      </c>
      <c r="Z84" s="33">
        <f t="shared" si="21"/>
        <v>839122669</v>
      </c>
      <c r="AA84" s="33">
        <f t="shared" si="21"/>
        <v>1118302</v>
      </c>
      <c r="AB84" s="34">
        <f t="shared" si="21"/>
        <v>6795129946.8000002</v>
      </c>
      <c r="AC84" s="34"/>
      <c r="AD84" s="32" t="str">
        <f>IF(AB84&gt;=$AD$13,"CUMPLE","NO CUMPLE")</f>
        <v>CUMPLE</v>
      </c>
      <c r="AE84" s="75">
        <f>+MAX(AE85:AE87)</f>
        <v>9526455069</v>
      </c>
      <c r="AF84" s="32"/>
      <c r="AG84" s="32" t="str">
        <f>+IF(AE84&gt;=$AG$13,"CUMPLE","NO CUMPLE")</f>
        <v>CUMPLE</v>
      </c>
      <c r="AH84" s="32">
        <f>IF(E84="","",(IF(W84=0,"INDETERMINADO",+U84/W84)))</f>
        <v>3.5774028445562989</v>
      </c>
      <c r="AI84" s="32" t="str">
        <f>IF(OR(AH84="",AH84&lt;$AI$13),"NO CUMPLE","CUMPLE")</f>
        <v>CUMPLE</v>
      </c>
      <c r="AJ84" s="32">
        <f>IF(U85="","",+X84/V84)</f>
        <v>0.30712327793459149</v>
      </c>
      <c r="AK84" s="32" t="str">
        <f>IF(OR(AJ84="",AJ84&gt;$AK$13),"NO CUMPLE","CUMPLE")</f>
        <v>CUMPLE</v>
      </c>
      <c r="AL84" s="32">
        <f>IF(AA84=0,"INDET",(IF(U85="","",Z84/AA84)))</f>
        <v>750.35425940398932</v>
      </c>
      <c r="AM84" s="32" t="str">
        <f>IF(OR(AL84="",AL84&lt;$AM$13),"NO CUMPLE","CUMPLE")</f>
        <v>CUMPLE</v>
      </c>
      <c r="AN84" s="32" t="str">
        <f>IF(AND(AG84="CUMPLE",AI84="CUMPLE",AK84="CUMPLE",AM84="CUMPLE",AD84="CUMPLE"),"CUMPLE","NO CUMPLE")</f>
        <v>CUMPLE</v>
      </c>
      <c r="AO84" s="35">
        <f>IF(U85="","",+Z84/Y84)</f>
        <v>0.12642797648315809</v>
      </c>
      <c r="AP84" s="36" t="str">
        <f>IF(OR(AO84="",AO84&lt;$AP$13),"NO CUMPLE","CUMPLE")</f>
        <v>CUMPLE</v>
      </c>
      <c r="AQ84" s="35">
        <f>IF(U85="","",+Z84/V84)</f>
        <v>8.7599001923013134E-2</v>
      </c>
      <c r="AR84" s="36" t="str">
        <f>IF(OR(AQ84="",AQ84&lt;$AR$13),"NO CUMPLE","CUMPLE")</f>
        <v>CUMPLE</v>
      </c>
      <c r="AS84" s="36" t="str">
        <f>IF(U85="","",IF(AND(AP84="CUMPLE",AR84="CUMPLE"),"CUMPLE","NO CUMPLE"))</f>
        <v>CUMPLE</v>
      </c>
      <c r="AT84" s="36" t="s">
        <v>58</v>
      </c>
      <c r="AU84" s="32" t="str">
        <f>IF(U85="","",IF(AND(O84="CUMPLE",AS84="CUMPLE",AN84="CUMPLE",T84="CUMPLE",AT84="CUMPLE"),"CUMPLE","NO CUMPLE"))</f>
        <v>CUMPLE</v>
      </c>
      <c r="AV84" s="37"/>
      <c r="AW84" s="37"/>
    </row>
    <row r="85" spans="4:49" x14ac:dyDescent="0.15">
      <c r="D85" s="38">
        <f>+D84+0.1</f>
        <v>20.100000000000001</v>
      </c>
      <c r="E85" s="39" t="s">
        <v>164</v>
      </c>
      <c r="F85" s="40">
        <v>901413091</v>
      </c>
      <c r="G85" s="41">
        <v>0.4</v>
      </c>
      <c r="H85" s="42"/>
      <c r="I85" s="42"/>
      <c r="J85" s="42"/>
      <c r="K85" s="42"/>
      <c r="L85" s="42"/>
      <c r="M85" s="66"/>
      <c r="N85" s="42"/>
      <c r="O85" s="42"/>
      <c r="P85" s="43">
        <v>46066</v>
      </c>
      <c r="Q85" s="43">
        <v>45749</v>
      </c>
      <c r="R85" s="38" t="str">
        <f>IF((NETWORKDAYS(Q85,P85)-1)&gt;=10,"CUMPLE","NO CUMPLE")</f>
        <v>CUMPLE</v>
      </c>
      <c r="S85" s="38" t="str">
        <f>IF(('[1]DATOS INICIALES'!$C$4-P85)&lt;30,"CUMPLE","NO CUMPLE")</f>
        <v>CUMPLE</v>
      </c>
      <c r="T85" s="38" t="str">
        <f t="shared" si="19"/>
        <v>CUMPLE</v>
      </c>
      <c r="U85" s="44">
        <v>15257298879</v>
      </c>
      <c r="V85" s="44">
        <v>15610114021</v>
      </c>
      <c r="W85" s="44">
        <v>5730843810</v>
      </c>
      <c r="X85" s="44">
        <v>5734216459</v>
      </c>
      <c r="Y85" s="44">
        <v>9875897562</v>
      </c>
      <c r="Z85" s="44">
        <v>1886930770</v>
      </c>
      <c r="AA85" s="44">
        <v>2793955</v>
      </c>
      <c r="AB85" s="44">
        <f>+U85-W85</f>
        <v>9526455069</v>
      </c>
      <c r="AC85" s="48"/>
      <c r="AD85" s="47"/>
      <c r="AE85" s="67">
        <f>+U85-W85</f>
        <v>9526455069</v>
      </c>
      <c r="AF85" s="47"/>
      <c r="AG85" s="68"/>
      <c r="AH85" s="45"/>
      <c r="AI85" s="45"/>
      <c r="AJ85" s="45"/>
      <c r="AK85" s="45"/>
      <c r="AL85" s="45"/>
      <c r="AM85" s="45"/>
      <c r="AN85" s="46"/>
      <c r="AO85" s="47"/>
      <c r="AP85" s="47"/>
      <c r="AQ85" s="47"/>
      <c r="AR85" s="47"/>
      <c r="AS85" s="46"/>
      <c r="AT85" s="46"/>
      <c r="AU85" s="46"/>
      <c r="AV85" s="47"/>
      <c r="AW85" s="47"/>
    </row>
    <row r="86" spans="4:49" x14ac:dyDescent="0.15">
      <c r="D86" s="38">
        <f>+D85+0.1</f>
        <v>20.200000000000003</v>
      </c>
      <c r="E86" s="39" t="s">
        <v>165</v>
      </c>
      <c r="F86" s="40">
        <v>901638793</v>
      </c>
      <c r="G86" s="41">
        <v>0.3</v>
      </c>
      <c r="H86" s="42"/>
      <c r="I86" s="42"/>
      <c r="J86" s="42"/>
      <c r="K86" s="42"/>
      <c r="L86" s="42"/>
      <c r="M86" s="66"/>
      <c r="N86" s="42"/>
      <c r="O86" s="42"/>
      <c r="P86" s="43">
        <v>46069</v>
      </c>
      <c r="Q86" s="43">
        <v>45771</v>
      </c>
      <c r="R86" s="38" t="str">
        <f>IF((NETWORKDAYS(Q86,P86)-1)&gt;=10,"CUMPLE","NO CUMPLE")</f>
        <v>CUMPLE</v>
      </c>
      <c r="S86" s="38" t="str">
        <f>IF(('[1]DATOS INICIALES'!$C$4-P86)&lt;30,"CUMPLE","NO CUMPLE")</f>
        <v>CUMPLE</v>
      </c>
      <c r="T86" s="38" t="str">
        <f t="shared" si="19"/>
        <v>CUMPLE</v>
      </c>
      <c r="U86" s="44">
        <v>4846773588</v>
      </c>
      <c r="V86" s="44">
        <v>4852251157</v>
      </c>
      <c r="W86" s="44">
        <v>1014342672</v>
      </c>
      <c r="X86" s="44">
        <v>1014342672</v>
      </c>
      <c r="Y86" s="44">
        <v>3837908485</v>
      </c>
      <c r="Z86" s="44">
        <v>263076930</v>
      </c>
      <c r="AA86" s="44">
        <v>0</v>
      </c>
      <c r="AB86" s="44">
        <f>+U86-W86</f>
        <v>3832430916</v>
      </c>
      <c r="AC86" s="48"/>
      <c r="AD86" s="47"/>
      <c r="AE86" s="67">
        <f>+U86-W86</f>
        <v>3832430916</v>
      </c>
      <c r="AF86" s="47"/>
      <c r="AG86" s="68"/>
      <c r="AH86" s="45"/>
      <c r="AI86" s="45"/>
      <c r="AJ86" s="45"/>
      <c r="AK86" s="45"/>
      <c r="AL86" s="45"/>
      <c r="AM86" s="45"/>
      <c r="AN86" s="46"/>
      <c r="AO86" s="47"/>
      <c r="AP86" s="47"/>
      <c r="AQ86" s="47"/>
      <c r="AR86" s="47"/>
      <c r="AS86" s="46"/>
      <c r="AT86" s="46"/>
      <c r="AU86" s="46"/>
      <c r="AV86" s="47"/>
      <c r="AW86" s="47"/>
    </row>
    <row r="87" spans="4:49" x14ac:dyDescent="0.15">
      <c r="D87" s="38">
        <f>+D86+0.1</f>
        <v>20.300000000000004</v>
      </c>
      <c r="E87" s="39" t="s">
        <v>166</v>
      </c>
      <c r="F87" s="40"/>
      <c r="G87" s="41">
        <v>0.3</v>
      </c>
      <c r="H87" s="42"/>
      <c r="I87" s="42"/>
      <c r="J87" s="42"/>
      <c r="K87" s="42"/>
      <c r="L87" s="42"/>
      <c r="M87" s="66"/>
      <c r="N87" s="42"/>
      <c r="O87" s="42"/>
      <c r="P87" s="43">
        <v>46085</v>
      </c>
      <c r="Q87" s="43">
        <v>45750</v>
      </c>
      <c r="R87" s="38" t="str">
        <f>IF((NETWORKDAYS(Q87,P87)-1)&gt;=10,"CUMPLE","NO CUMPLE")</f>
        <v>CUMPLE</v>
      </c>
      <c r="S87" s="38" t="str">
        <f>IF(('[1]DATOS INICIALES'!$C$4-P87)&lt;30,"CUMPLE","NO CUMPLE")</f>
        <v>CUMPLE</v>
      </c>
      <c r="T87" s="38" t="str">
        <f t="shared" si="19"/>
        <v>CUMPLE</v>
      </c>
      <c r="U87" s="44">
        <v>6248678573</v>
      </c>
      <c r="V87" s="44">
        <v>6264713623</v>
      </c>
      <c r="W87" s="44">
        <v>132616425</v>
      </c>
      <c r="X87" s="44">
        <v>1146619896</v>
      </c>
      <c r="Y87" s="44">
        <v>5118093727</v>
      </c>
      <c r="Z87" s="44">
        <v>18090940</v>
      </c>
      <c r="AA87" s="44">
        <v>2400</v>
      </c>
      <c r="AB87" s="44">
        <f>+U87-W87</f>
        <v>6116062148</v>
      </c>
      <c r="AC87" s="48"/>
      <c r="AD87" s="47"/>
      <c r="AE87" s="67">
        <f>+U87-W87</f>
        <v>6116062148</v>
      </c>
      <c r="AF87" s="47"/>
      <c r="AG87" s="68"/>
      <c r="AH87" s="45"/>
      <c r="AI87" s="45"/>
      <c r="AJ87" s="45"/>
      <c r="AK87" s="45"/>
      <c r="AL87" s="45"/>
      <c r="AM87" s="45"/>
      <c r="AN87" s="46"/>
      <c r="AO87" s="47"/>
      <c r="AP87" s="47"/>
      <c r="AQ87" s="47"/>
      <c r="AR87" s="47"/>
      <c r="AS87" s="46"/>
      <c r="AT87" s="46"/>
      <c r="AU87" s="46"/>
      <c r="AV87" s="47"/>
      <c r="AW87" s="47"/>
    </row>
    <row r="88" spans="4:49" ht="15" x14ac:dyDescent="0.15">
      <c r="D88" s="62">
        <v>21</v>
      </c>
      <c r="E88" s="63" t="str">
        <f>IF(D88="","",VLOOKUP(D88,'[2]DATOS INICIALES'!$B$10:$D$69,2,0))</f>
        <v>CONSORCIO SURCOLOMBIA 002-26</v>
      </c>
      <c r="F88" s="64">
        <f>IF(D88="","",VLOOKUP(D88,'[2]DATOS INICIALES'!$B$10:$D$69,3,0))</f>
        <v>0</v>
      </c>
      <c r="G88" s="65">
        <f>SUM(G89:G91)</f>
        <v>1</v>
      </c>
      <c r="H88" s="64"/>
      <c r="I88" s="30" t="s">
        <v>55</v>
      </c>
      <c r="J88" s="30" t="str">
        <f>IF(I88="SI","CUMPLE", "NO CUMPLE")</f>
        <v>CUMPLE</v>
      </c>
      <c r="K88" s="30" t="s">
        <v>55</v>
      </c>
      <c r="L88" s="30" t="str">
        <f>IF(K88="SI","CUMPLE", "NO CUMPLE")</f>
        <v>CUMPLE</v>
      </c>
      <c r="M88" s="51">
        <f>+IFERROR(VLOOKUP(D88,'[2]DATOS INICIALES'!$B$10:$G$100,6,0),0)</f>
        <v>69477143896</v>
      </c>
      <c r="N88" s="30" t="str">
        <f>IF(M88&lt;='[2]DATOS INICIALES'!$C$6,"CUMPLE","NO CUMPLE")</f>
        <v>CUMPLE</v>
      </c>
      <c r="O88" s="30" t="str">
        <f>IF(AND(J88="CUMPLE",L88="CUMPLE",N88="CUMPLE"),"CUMPLE","NO CUMPLE")</f>
        <v>CUMPLE</v>
      </c>
      <c r="P88" s="31"/>
      <c r="Q88" s="31"/>
      <c r="R88" s="32" t="str">
        <f>IF(AND(R89="CUMPLE",R90="CUMPLE",R91="CUMPLE"),"CUMPLE","NO CUMPLE")</f>
        <v>CUMPLE</v>
      </c>
      <c r="S88" s="32" t="str">
        <f>IF(AND(S89="CUMPLE",S90="CUMPLE",S91="CUMPLE"),"CUMPLE","NO CUMPLE")</f>
        <v>CUMPLE</v>
      </c>
      <c r="T88" s="32" t="str">
        <f t="shared" si="19"/>
        <v>CUMPLE</v>
      </c>
      <c r="U88" s="33">
        <f t="shared" ref="U88:AB88" si="22">+(U89*$G89)+(U90*$G90)+(U91*$G91)</f>
        <v>11130931210.400002</v>
      </c>
      <c r="V88" s="33">
        <f t="shared" si="22"/>
        <v>17160191095.91</v>
      </c>
      <c r="W88" s="33">
        <f t="shared" si="22"/>
        <v>3330958640.3000002</v>
      </c>
      <c r="X88" s="33">
        <f t="shared" si="22"/>
        <v>5411355988.7800007</v>
      </c>
      <c r="Y88" s="33">
        <f t="shared" si="22"/>
        <v>11748835107.130001</v>
      </c>
      <c r="Z88" s="33">
        <f t="shared" si="22"/>
        <v>2796302951.77</v>
      </c>
      <c r="AA88" s="33">
        <f t="shared" si="22"/>
        <v>419187806.66000003</v>
      </c>
      <c r="AB88" s="34">
        <f t="shared" si="22"/>
        <v>7799972570.1000013</v>
      </c>
      <c r="AC88" s="34"/>
      <c r="AD88" s="32" t="str">
        <f>IF(AB88&gt;=$AD$13,"CUMPLE","NO CUMPLE")</f>
        <v>CUMPLE</v>
      </c>
      <c r="AE88" s="75">
        <f>+MAX(AE89:AE91)</f>
        <v>16592146674</v>
      </c>
      <c r="AF88" s="32"/>
      <c r="AG88" s="32" t="str">
        <f>+IF(AE88&gt;=$AG$13,"CUMPLE","NO CUMPLE")</f>
        <v>CUMPLE</v>
      </c>
      <c r="AH88" s="32">
        <f>IF(E88="","",(IF(W88=0,"INDETERMINADO",+U88/W88)))</f>
        <v>3.3416599881280731</v>
      </c>
      <c r="AI88" s="32" t="str">
        <f>IF(OR(AH88="",AH88&lt;$AI$13),"NO CUMPLE","CUMPLE")</f>
        <v>CUMPLE</v>
      </c>
      <c r="AJ88" s="32">
        <f>IF(U89="","",+X88/V88)</f>
        <v>0.31534357388769152</v>
      </c>
      <c r="AK88" s="32" t="str">
        <f>IF(OR(AJ88="",AJ88&gt;$AK$13),"NO CUMPLE","CUMPLE")</f>
        <v>CUMPLE</v>
      </c>
      <c r="AL88" s="32">
        <f>IF(AA88=0,"INDET",(IF(U89="","",Z88/AA88)))</f>
        <v>6.6707640521568408</v>
      </c>
      <c r="AM88" s="32" t="str">
        <f>IF(OR(AL88="",AL88&lt;$AM$13),"NO CUMPLE","CUMPLE")</f>
        <v>CUMPLE</v>
      </c>
      <c r="AN88" s="32" t="str">
        <f>IF(AND(AG88="CUMPLE",AI88="CUMPLE",AK88="CUMPLE",AM88="CUMPLE",AD88="CUMPLE"),"CUMPLE","NO CUMPLE")</f>
        <v>CUMPLE</v>
      </c>
      <c r="AO88" s="35">
        <f>IF(U89="","",+Z88/Y88)</f>
        <v>0.23800682589144612</v>
      </c>
      <c r="AP88" s="36" t="str">
        <f>IF(OR(AO88="",AO88&lt;$AP$13),"NO CUMPLE","CUMPLE")</f>
        <v>CUMPLE</v>
      </c>
      <c r="AQ88" s="35">
        <f>IF(U89="","",+Z88/V88)</f>
        <v>0.162952902805172</v>
      </c>
      <c r="AR88" s="36" t="str">
        <f>IF(OR(AQ88="",AQ88&lt;$AR$13),"NO CUMPLE","CUMPLE")</f>
        <v>CUMPLE</v>
      </c>
      <c r="AS88" s="36" t="str">
        <f>IF(U89="","",IF(AND(AP88="CUMPLE",AR88="CUMPLE"),"CUMPLE","NO CUMPLE"))</f>
        <v>CUMPLE</v>
      </c>
      <c r="AT88" s="36" t="s">
        <v>58</v>
      </c>
      <c r="AU88" s="32" t="str">
        <f>IF(U89="","",IF(AND(O88="CUMPLE",AS88="CUMPLE",AN88="CUMPLE",T88="CUMPLE",AT88="CUMPLE"),"CUMPLE","NO CUMPLE"))</f>
        <v>CUMPLE</v>
      </c>
      <c r="AV88" s="37"/>
      <c r="AW88" s="37"/>
    </row>
    <row r="89" spans="4:49" x14ac:dyDescent="0.15">
      <c r="D89" s="38">
        <f>+D88+0.1</f>
        <v>21.1</v>
      </c>
      <c r="E89" s="39" t="s">
        <v>176</v>
      </c>
      <c r="F89" s="40">
        <v>800121665</v>
      </c>
      <c r="G89" s="41">
        <v>0.34</v>
      </c>
      <c r="H89" s="42"/>
      <c r="I89" s="42"/>
      <c r="J89" s="42"/>
      <c r="K89" s="42"/>
      <c r="L89" s="42"/>
      <c r="M89" s="66"/>
      <c r="N89" s="42"/>
      <c r="O89" s="42"/>
      <c r="P89" s="43">
        <v>46076</v>
      </c>
      <c r="Q89" s="43">
        <v>45743</v>
      </c>
      <c r="R89" s="38" t="str">
        <f>IF((NETWORKDAYS(Q89,P89)-1)&gt;=10,"CUMPLE","NO CUMPLE")</f>
        <v>CUMPLE</v>
      </c>
      <c r="S89" s="38" t="str">
        <f>IF(('[2]DATOS INICIALES'!$C$4-P89)&lt;30,"CUMPLE","NO CUMPLE")</f>
        <v>CUMPLE</v>
      </c>
      <c r="T89" s="38" t="str">
        <f t="shared" si="19"/>
        <v>CUMPLE</v>
      </c>
      <c r="U89" s="145">
        <v>24125065106</v>
      </c>
      <c r="V89" s="145">
        <v>38029740491</v>
      </c>
      <c r="W89" s="145">
        <v>7532918432</v>
      </c>
      <c r="X89" s="145">
        <v>13612289653</v>
      </c>
      <c r="Y89" s="145">
        <v>24417450838</v>
      </c>
      <c r="Z89" s="145">
        <v>6482813053</v>
      </c>
      <c r="AA89" s="145">
        <v>992961809</v>
      </c>
      <c r="AB89" s="44">
        <f>+U89-W89</f>
        <v>16592146674</v>
      </c>
      <c r="AC89" s="48"/>
      <c r="AD89" s="47"/>
      <c r="AE89" s="67">
        <f>+U89-W89</f>
        <v>16592146674</v>
      </c>
      <c r="AF89" s="47"/>
      <c r="AG89" s="68"/>
      <c r="AH89" s="45"/>
      <c r="AI89" s="45"/>
      <c r="AJ89" s="45"/>
      <c r="AK89" s="45"/>
      <c r="AL89" s="45"/>
      <c r="AM89" s="45"/>
      <c r="AN89" s="46"/>
      <c r="AO89" s="47"/>
      <c r="AP89" s="47"/>
      <c r="AQ89" s="47"/>
      <c r="AR89" s="47"/>
      <c r="AS89" s="46"/>
      <c r="AT89" s="46"/>
      <c r="AU89" s="46"/>
      <c r="AV89" s="47"/>
      <c r="AW89" s="47"/>
    </row>
    <row r="90" spans="4:49" x14ac:dyDescent="0.15">
      <c r="D90" s="38">
        <f>+D89+0.1</f>
        <v>21.200000000000003</v>
      </c>
      <c r="E90" s="39" t="s">
        <v>177</v>
      </c>
      <c r="F90" s="40">
        <v>800007208</v>
      </c>
      <c r="G90" s="41">
        <v>0.33</v>
      </c>
      <c r="H90" s="42"/>
      <c r="I90" s="42"/>
      <c r="J90" s="42"/>
      <c r="K90" s="42"/>
      <c r="L90" s="42"/>
      <c r="M90" s="66"/>
      <c r="N90" s="42"/>
      <c r="O90" s="42"/>
      <c r="P90" s="43">
        <v>46080</v>
      </c>
      <c r="Q90" s="43">
        <v>45734</v>
      </c>
      <c r="R90" s="38" t="str">
        <f>IF((NETWORKDAYS(Q90,P90)-1)&gt;=10,"CUMPLE","NO CUMPLE")</f>
        <v>CUMPLE</v>
      </c>
      <c r="S90" s="38" t="str">
        <f>IF(('[2]DATOS INICIALES'!$C$4-P90)&lt;30,"CUMPLE","NO CUMPLE")</f>
        <v>CUMPLE</v>
      </c>
      <c r="T90" s="38" t="str">
        <f t="shared" si="19"/>
        <v>CUMPLE</v>
      </c>
      <c r="U90" s="145">
        <v>6310901251</v>
      </c>
      <c r="V90" s="145">
        <v>9549737427</v>
      </c>
      <c r="W90" s="145">
        <v>1640017755</v>
      </c>
      <c r="X90" s="145">
        <v>1680657553</v>
      </c>
      <c r="Y90" s="145">
        <v>7869079874</v>
      </c>
      <c r="Z90" s="145">
        <v>811428146</v>
      </c>
      <c r="AA90" s="145">
        <v>219067941</v>
      </c>
      <c r="AB90" s="44">
        <f>+U90-W90</f>
        <v>4670883496</v>
      </c>
      <c r="AC90" s="48"/>
      <c r="AD90" s="47"/>
      <c r="AE90" s="67">
        <f>+U90-W90</f>
        <v>4670883496</v>
      </c>
      <c r="AF90" s="47"/>
      <c r="AG90" s="68"/>
      <c r="AH90" s="45"/>
      <c r="AI90" s="45"/>
      <c r="AJ90" s="45"/>
      <c r="AK90" s="45"/>
      <c r="AL90" s="45"/>
      <c r="AM90" s="45"/>
      <c r="AN90" s="46"/>
      <c r="AO90" s="47"/>
      <c r="AP90" s="47"/>
      <c r="AQ90" s="47"/>
      <c r="AR90" s="47"/>
      <c r="AS90" s="46"/>
      <c r="AT90" s="46"/>
      <c r="AU90" s="46"/>
      <c r="AV90" s="47"/>
      <c r="AW90" s="47"/>
    </row>
    <row r="91" spans="4:49" x14ac:dyDescent="0.15">
      <c r="D91" s="38">
        <f>+D90+0.1</f>
        <v>21.300000000000004</v>
      </c>
      <c r="E91" s="39" t="s">
        <v>178</v>
      </c>
      <c r="F91" s="40">
        <v>9063517</v>
      </c>
      <c r="G91" s="41">
        <v>0.33</v>
      </c>
      <c r="H91" s="42"/>
      <c r="I91" s="42"/>
      <c r="J91" s="42"/>
      <c r="K91" s="42"/>
      <c r="L91" s="42"/>
      <c r="M91" s="66"/>
      <c r="N91" s="42"/>
      <c r="O91" s="42"/>
      <c r="P91" s="43">
        <v>46078</v>
      </c>
      <c r="Q91" s="43">
        <v>45753</v>
      </c>
      <c r="R91" s="38" t="str">
        <f>IF((NETWORKDAYS(Q91,P91)-1)&gt;=10,"CUMPLE","NO CUMPLE")</f>
        <v>CUMPLE</v>
      </c>
      <c r="S91" s="38" t="str">
        <f>IF(('[2]DATOS INICIALES'!$C$4-P91)&lt;30,"CUMPLE","NO CUMPLE")</f>
        <v>CUMPLE</v>
      </c>
      <c r="T91" s="38" t="str">
        <f t="shared" si="19"/>
        <v>CUMPLE</v>
      </c>
      <c r="U91" s="145">
        <v>2563065641</v>
      </c>
      <c r="V91" s="145">
        <v>3268684782</v>
      </c>
      <c r="W91" s="145">
        <v>692607619</v>
      </c>
      <c r="X91" s="145">
        <v>692607619</v>
      </c>
      <c r="Y91" s="145">
        <v>2576077163</v>
      </c>
      <c r="Z91" s="145">
        <v>982955229</v>
      </c>
      <c r="AA91" s="145">
        <v>28146579</v>
      </c>
      <c r="AB91" s="44">
        <f>+U91-W91</f>
        <v>1870458022</v>
      </c>
      <c r="AC91" s="48"/>
      <c r="AD91" s="47"/>
      <c r="AE91" s="67">
        <f>+U91-W91</f>
        <v>1870458022</v>
      </c>
      <c r="AF91" s="47"/>
      <c r="AG91" s="68"/>
      <c r="AH91" s="45"/>
      <c r="AI91" s="45"/>
      <c r="AJ91" s="45"/>
      <c r="AK91" s="45"/>
      <c r="AL91" s="45"/>
      <c r="AM91" s="45"/>
      <c r="AN91" s="46"/>
      <c r="AO91" s="47"/>
      <c r="AP91" s="47"/>
      <c r="AQ91" s="47"/>
      <c r="AR91" s="47"/>
      <c r="AS91" s="46"/>
      <c r="AT91" s="46"/>
      <c r="AU91" s="46"/>
      <c r="AV91" s="47"/>
      <c r="AW91" s="47"/>
    </row>
    <row r="92" spans="4:49" ht="15" x14ac:dyDescent="0.15">
      <c r="D92" s="62">
        <v>22</v>
      </c>
      <c r="E92" s="63" t="str">
        <f>IF(D92="","",VLOOKUP(D92,'[2]DATOS INICIALES'!$B$10:$D$69,2,0))</f>
        <v>CONSORCIO CAUCA  MIP</v>
      </c>
      <c r="F92" s="64">
        <f>IF(D92="","",VLOOKUP(D92,'[2]DATOS INICIALES'!$B$10:$D$69,3,0))</f>
        <v>0</v>
      </c>
      <c r="G92" s="65">
        <f>SUM(G93:G95)</f>
        <v>1</v>
      </c>
      <c r="H92" s="64"/>
      <c r="I92" s="30" t="s">
        <v>55</v>
      </c>
      <c r="J92" s="30" t="str">
        <f>IF(I92="SI","CUMPLE", "NO CUMPLE")</f>
        <v>CUMPLE</v>
      </c>
      <c r="K92" s="30" t="s">
        <v>55</v>
      </c>
      <c r="L92" s="30" t="str">
        <f>IF(K92="SI","CUMPLE", "NO CUMPLE")</f>
        <v>CUMPLE</v>
      </c>
      <c r="M92" s="51">
        <f>+IFERROR(VLOOKUP(D92,'[2]DATOS INICIALES'!$B$10:$G$100,6,0),0)</f>
        <v>69477143896</v>
      </c>
      <c r="N92" s="30" t="str">
        <f>IF(M92&lt;='[2]DATOS INICIALES'!$C$6,"CUMPLE","NO CUMPLE")</f>
        <v>CUMPLE</v>
      </c>
      <c r="O92" s="30" t="str">
        <f>IF(AND(J92="CUMPLE",L92="CUMPLE",N92="CUMPLE"),"CUMPLE","NO CUMPLE")</f>
        <v>CUMPLE</v>
      </c>
      <c r="P92" s="31"/>
      <c r="Q92" s="31"/>
      <c r="R92" s="32" t="str">
        <f>IF(AND(R93="CUMPLE",R94="CUMPLE",R95="CUMPLE"),"CUMPLE","NO CUMPLE")</f>
        <v>CUMPLE</v>
      </c>
      <c r="S92" s="32" t="str">
        <f>IF(AND(S93="CUMPLE",S94="CUMPLE",S95="CUMPLE"),"CUMPLE","NO CUMPLE")</f>
        <v>CUMPLE</v>
      </c>
      <c r="T92" s="32" t="str">
        <f t="shared" si="19"/>
        <v>CUMPLE</v>
      </c>
      <c r="U92" s="33">
        <f t="shared" ref="U92:AB92" si="23">+(U93*$G93)+(U94*$G94)+(U95*$G95)</f>
        <v>22993218233.719997</v>
      </c>
      <c r="V92" s="33">
        <f t="shared" si="23"/>
        <v>42918976252.400002</v>
      </c>
      <c r="W92" s="33">
        <f t="shared" si="23"/>
        <v>12367223319.919998</v>
      </c>
      <c r="X92" s="33">
        <f t="shared" si="23"/>
        <v>18170299967.740002</v>
      </c>
      <c r="Y92" s="33">
        <f t="shared" si="23"/>
        <v>24748676284.66</v>
      </c>
      <c r="Z92" s="33">
        <f t="shared" si="23"/>
        <v>1642518084.74</v>
      </c>
      <c r="AA92" s="33">
        <f t="shared" si="23"/>
        <v>893062250.05500007</v>
      </c>
      <c r="AB92" s="34">
        <f t="shared" si="23"/>
        <v>10625994913.799999</v>
      </c>
      <c r="AC92" s="34"/>
      <c r="AD92" s="32" t="str">
        <f>IF(AB92&gt;=$AD$13,"CUMPLE","NO CUMPLE")</f>
        <v>CUMPLE</v>
      </c>
      <c r="AE92" s="75">
        <f>+MAX(AE93:AE95)</f>
        <v>17712455587.199997</v>
      </c>
      <c r="AF92" s="32"/>
      <c r="AG92" s="32" t="str">
        <f>+IF(AE92&gt;=$AG$13,"CUMPLE","NO CUMPLE")</f>
        <v>CUMPLE</v>
      </c>
      <c r="AH92" s="32">
        <f>IF(E92="","",(IF(W92=0,"INDETERMINADO",+U92/W92)))</f>
        <v>1.8592061968093205</v>
      </c>
      <c r="AI92" s="32" t="str">
        <f>IF(OR(AH92="",AH92&lt;$AI$13),"NO CUMPLE","CUMPLE")</f>
        <v>CUMPLE</v>
      </c>
      <c r="AJ92" s="32">
        <f>IF(U93="","",+X92/V92)</f>
        <v>0.42336284679492864</v>
      </c>
      <c r="AK92" s="32" t="str">
        <f>IF(OR(AJ92="",AJ92&gt;$AK$13),"NO CUMPLE","CUMPLE")</f>
        <v>CUMPLE</v>
      </c>
      <c r="AL92" s="32">
        <f>IF(AA92=0,"INDET",(IF(U93="","",Z92/AA92)))</f>
        <v>1.8391977542873903</v>
      </c>
      <c r="AM92" s="32" t="str">
        <f>IF(OR(AL92="",AL92&lt;$AM$13),"NO CUMPLE","CUMPLE")</f>
        <v>CUMPLE</v>
      </c>
      <c r="AN92" s="32" t="str">
        <f>IF(AND(AG92="CUMPLE",AI92="CUMPLE",AK92="CUMPLE",AM92="CUMPLE",AD92="CUMPLE"),"CUMPLE","NO CUMPLE")</f>
        <v>CUMPLE</v>
      </c>
      <c r="AO92" s="35">
        <f>IF(U93="","",+Z92/Y92)</f>
        <v>6.6367916645226149E-2</v>
      </c>
      <c r="AP92" s="36" t="str">
        <f>IF(OR(AO92="",AO92&lt;$AP$13),"NO CUMPLE","CUMPLE")</f>
        <v>CUMPLE</v>
      </c>
      <c r="AQ92" s="35">
        <f>IF(U93="","",+Z92/V92)</f>
        <v>3.8270206518454676E-2</v>
      </c>
      <c r="AR92" s="36" t="str">
        <f>IF(OR(AQ92="",AQ92&lt;$AR$13),"NO CUMPLE","CUMPLE")</f>
        <v>CUMPLE</v>
      </c>
      <c r="AS92" s="36" t="str">
        <f>IF(U93="","",IF(AND(AP92="CUMPLE",AR92="CUMPLE"),"CUMPLE","NO CUMPLE"))</f>
        <v>CUMPLE</v>
      </c>
      <c r="AT92" s="36" t="s">
        <v>58</v>
      </c>
      <c r="AU92" s="32" t="str">
        <f>IF(U93="","",IF(AND(O92="CUMPLE",AS92="CUMPLE",AN92="CUMPLE",T92="CUMPLE",AT92="CUMPLE"),"CUMPLE","NO CUMPLE"))</f>
        <v>CUMPLE</v>
      </c>
      <c r="AV92" s="37"/>
      <c r="AW92" s="37"/>
    </row>
    <row r="93" spans="4:49" x14ac:dyDescent="0.15">
      <c r="D93" s="38">
        <f>+D92+0.1</f>
        <v>22.1</v>
      </c>
      <c r="E93" s="39" t="s">
        <v>179</v>
      </c>
      <c r="F93" s="40">
        <v>830087080</v>
      </c>
      <c r="G93" s="41">
        <v>0.5</v>
      </c>
      <c r="H93" s="42"/>
      <c r="I93" s="42"/>
      <c r="J93" s="42"/>
      <c r="K93" s="42"/>
      <c r="L93" s="42"/>
      <c r="M93" s="66"/>
      <c r="N93" s="42"/>
      <c r="O93" s="42"/>
      <c r="P93" s="43">
        <v>46076</v>
      </c>
      <c r="Q93" s="43">
        <v>45735</v>
      </c>
      <c r="R93" s="38" t="str">
        <f>IF((NETWORKDAYS(Q93,P93)-1)&gt;=10,"CUMPLE","NO CUMPLE")</f>
        <v>CUMPLE</v>
      </c>
      <c r="S93" s="38" t="str">
        <f>IF(('[2]DATOS INICIALES'!$C$4-P93)&lt;30,"CUMPLE","NO CUMPLE")</f>
        <v>CUMPLE</v>
      </c>
      <c r="T93" s="38" t="str">
        <f t="shared" si="19"/>
        <v>CUMPLE</v>
      </c>
      <c r="U93" s="98">
        <v>37319847171.839996</v>
      </c>
      <c r="V93" s="98">
        <v>67556045390.400002</v>
      </c>
      <c r="W93" s="98">
        <v>19607391584.639999</v>
      </c>
      <c r="X93" s="98">
        <v>29980601786.880001</v>
      </c>
      <c r="Y93" s="98">
        <v>37575443603.519997</v>
      </c>
      <c r="Z93" s="98">
        <v>2731775484.48</v>
      </c>
      <c r="AA93" s="98">
        <v>1569662057.71</v>
      </c>
      <c r="AB93" s="44">
        <f>+U93-W93</f>
        <v>17712455587.199997</v>
      </c>
      <c r="AC93" s="48"/>
      <c r="AD93" s="47"/>
      <c r="AE93" s="67">
        <f>+U93-W93</f>
        <v>17712455587.199997</v>
      </c>
      <c r="AF93" s="47"/>
      <c r="AG93" s="68"/>
      <c r="AH93" s="45"/>
      <c r="AI93" s="45"/>
      <c r="AJ93" s="45"/>
      <c r="AK93" s="45"/>
      <c r="AL93" s="45"/>
      <c r="AM93" s="45"/>
      <c r="AN93" s="46"/>
      <c r="AO93" s="47"/>
      <c r="AP93" s="47"/>
      <c r="AQ93" s="47"/>
      <c r="AR93" s="47"/>
      <c r="AS93" s="46"/>
      <c r="AT93" s="46"/>
      <c r="AU93" s="46"/>
      <c r="AV93" s="47"/>
      <c r="AW93" s="47"/>
    </row>
    <row r="94" spans="4:49" x14ac:dyDescent="0.15">
      <c r="D94" s="38">
        <f>+D93+0.1</f>
        <v>22.200000000000003</v>
      </c>
      <c r="E94" s="39" t="s">
        <v>180</v>
      </c>
      <c r="F94" s="40">
        <v>804001735</v>
      </c>
      <c r="G94" s="41">
        <v>0.4</v>
      </c>
      <c r="H94" s="42"/>
      <c r="I94" s="42"/>
      <c r="J94" s="42"/>
      <c r="K94" s="42"/>
      <c r="L94" s="42"/>
      <c r="M94" s="66"/>
      <c r="N94" s="42"/>
      <c r="O94" s="42"/>
      <c r="P94" s="43">
        <v>46079</v>
      </c>
      <c r="Q94" s="43">
        <v>45771</v>
      </c>
      <c r="R94" s="38" t="str">
        <f>IF((NETWORKDAYS(Q94,P94)-1)&gt;=10,"CUMPLE","NO CUMPLE")</f>
        <v>CUMPLE</v>
      </c>
      <c r="S94" s="38" t="str">
        <f>IF(('[2]DATOS INICIALES'!$C$4-P94)&lt;30,"CUMPLE","NO CUMPLE")</f>
        <v>CUMPLE</v>
      </c>
      <c r="T94" s="38" t="str">
        <f t="shared" si="19"/>
        <v>CUMPLE</v>
      </c>
      <c r="U94" s="145">
        <v>10657956520</v>
      </c>
      <c r="V94" s="145">
        <v>22594184259</v>
      </c>
      <c r="W94" s="145">
        <v>6240357417</v>
      </c>
      <c r="X94" s="145">
        <v>7744687980</v>
      </c>
      <c r="Y94" s="145">
        <v>14849496279</v>
      </c>
      <c r="Z94" s="145">
        <v>680893326</v>
      </c>
      <c r="AA94" s="145">
        <v>270578053</v>
      </c>
      <c r="AB94" s="44">
        <f>+U94-W94</f>
        <v>4417599103</v>
      </c>
      <c r="AC94" s="48"/>
      <c r="AD94" s="47"/>
      <c r="AE94" s="67">
        <f>+U94-W94</f>
        <v>4417599103</v>
      </c>
      <c r="AF94" s="47"/>
      <c r="AG94" s="68"/>
      <c r="AH94" s="45"/>
      <c r="AI94" s="45"/>
      <c r="AJ94" s="45"/>
      <c r="AK94" s="45"/>
      <c r="AL94" s="45"/>
      <c r="AM94" s="45"/>
      <c r="AN94" s="46"/>
      <c r="AO94" s="47"/>
      <c r="AP94" s="47"/>
      <c r="AQ94" s="47"/>
      <c r="AR94" s="47"/>
      <c r="AS94" s="46"/>
      <c r="AT94" s="46"/>
      <c r="AU94" s="46"/>
      <c r="AV94" s="47"/>
      <c r="AW94" s="47"/>
    </row>
    <row r="95" spans="4:49" x14ac:dyDescent="0.15">
      <c r="D95" s="38">
        <f>+D94+0.1</f>
        <v>22.300000000000004</v>
      </c>
      <c r="E95" s="39" t="s">
        <v>181</v>
      </c>
      <c r="F95" s="40">
        <v>900986020</v>
      </c>
      <c r="G95" s="41">
        <v>0.1</v>
      </c>
      <c r="H95" s="42"/>
      <c r="I95" s="42"/>
      <c r="J95" s="42"/>
      <c r="K95" s="42"/>
      <c r="L95" s="42"/>
      <c r="M95" s="66"/>
      <c r="N95" s="42"/>
      <c r="O95" s="42"/>
      <c r="P95" s="43">
        <v>46079</v>
      </c>
      <c r="Q95" s="43">
        <v>45755</v>
      </c>
      <c r="R95" s="38" t="str">
        <f>IF((NETWORKDAYS(Q95,P95)-1)&gt;=10,"CUMPLE","NO CUMPLE")</f>
        <v>CUMPLE</v>
      </c>
      <c r="S95" s="38" t="str">
        <f>IF(('[2]DATOS INICIALES'!$C$4-P95)&lt;30,"CUMPLE","NO CUMPLE")</f>
        <v>CUMPLE</v>
      </c>
      <c r="T95" s="38" t="str">
        <f t="shared" si="19"/>
        <v>CUMPLE</v>
      </c>
      <c r="U95" s="145">
        <v>701120398</v>
      </c>
      <c r="V95" s="145">
        <v>1032798536</v>
      </c>
      <c r="W95" s="145">
        <v>673845608</v>
      </c>
      <c r="X95" s="145">
        <v>821238823</v>
      </c>
      <c r="Y95" s="145">
        <v>211559713</v>
      </c>
      <c r="Z95" s="145">
        <v>42730121</v>
      </c>
      <c r="AA95" s="47">
        <v>0</v>
      </c>
      <c r="AB95" s="44">
        <f>+U95-W95</f>
        <v>27274790</v>
      </c>
      <c r="AC95" s="48"/>
      <c r="AD95" s="47"/>
      <c r="AE95" s="67">
        <f>+U95-W95</f>
        <v>27274790</v>
      </c>
      <c r="AF95" s="47"/>
      <c r="AG95" s="68"/>
      <c r="AH95" s="45"/>
      <c r="AI95" s="45"/>
      <c r="AJ95" s="45"/>
      <c r="AK95" s="45"/>
      <c r="AL95" s="45"/>
      <c r="AM95" s="45"/>
      <c r="AN95" s="46"/>
      <c r="AO95" s="47"/>
      <c r="AP95" s="47"/>
      <c r="AQ95" s="47"/>
      <c r="AR95" s="47"/>
      <c r="AS95" s="46"/>
      <c r="AT95" s="46"/>
      <c r="AU95" s="46"/>
      <c r="AV95" s="47"/>
      <c r="AW95" s="47"/>
    </row>
    <row r="96" spans="4:49" ht="60" x14ac:dyDescent="0.15">
      <c r="D96" s="62">
        <v>23</v>
      </c>
      <c r="E96" s="63" t="str">
        <f>IF(D96="","",VLOOKUP(D96,'[2]DATOS INICIALES'!$B$10:$D$69,2,0))</f>
        <v>CONSORCIO PIVICSA POPAYAN</v>
      </c>
      <c r="F96" s="64">
        <f>IF(D96="","",VLOOKUP(D96,'[2]DATOS INICIALES'!$B$10:$D$69,3,0))</f>
        <v>0</v>
      </c>
      <c r="G96" s="65">
        <f>SUM(G97:G98)</f>
        <v>1</v>
      </c>
      <c r="H96" s="64"/>
      <c r="I96" s="30" t="s">
        <v>55</v>
      </c>
      <c r="J96" s="30" t="str">
        <f>IF(I96="SI","CUMPLE", "NO CUMPLE")</f>
        <v>CUMPLE</v>
      </c>
      <c r="K96" s="30" t="s">
        <v>55</v>
      </c>
      <c r="L96" s="30" t="str">
        <f>IF(K96="SI","CUMPLE", "NO CUMPLE")</f>
        <v>CUMPLE</v>
      </c>
      <c r="M96" s="51">
        <f>+IFERROR(VLOOKUP(D96,'[2]DATOS INICIALES'!$B$10:$G$100,6,0),0)</f>
        <v>69477143896</v>
      </c>
      <c r="N96" s="30" t="str">
        <f>IF(M96&lt;='[2]DATOS INICIALES'!$C$6,"CUMPLE","NO CUMPLE")</f>
        <v>CUMPLE</v>
      </c>
      <c r="O96" s="30" t="str">
        <f>IF(AND(J96="CUMPLE",L96="CUMPLE",N96="CUMPLE"),"CUMPLE","NO CUMPLE")</f>
        <v>CUMPLE</v>
      </c>
      <c r="P96" s="31"/>
      <c r="Q96" s="31"/>
      <c r="R96" s="32" t="str">
        <f>IF(AND(R97="CUMPLE",R98="CUMPLE"),"CUMPLE","NO CUMPLE")</f>
        <v>CUMPLE</v>
      </c>
      <c r="S96" s="32" t="str">
        <f>IF(AND(S97="CUMPLE",S98="CUMPLE"),"CUMPLE","NO CUMPLE")</f>
        <v>CUMPLE</v>
      </c>
      <c r="T96" s="32" t="str">
        <f t="shared" si="19"/>
        <v>CUMPLE</v>
      </c>
      <c r="U96" s="33">
        <f t="shared" ref="U96:AB96" si="24">+(U97*$G97)+(U98*$G98)</f>
        <v>6878868419.5</v>
      </c>
      <c r="V96" s="33">
        <f t="shared" si="24"/>
        <v>10076190118</v>
      </c>
      <c r="W96" s="33">
        <f t="shared" si="24"/>
        <v>1583720444.5</v>
      </c>
      <c r="X96" s="33">
        <f t="shared" si="24"/>
        <v>5800099126.5</v>
      </c>
      <c r="Y96" s="33">
        <f t="shared" si="24"/>
        <v>4276090991.5</v>
      </c>
      <c r="Z96" s="33">
        <f t="shared" si="24"/>
        <v>591354660</v>
      </c>
      <c r="AA96" s="33">
        <f t="shared" si="24"/>
        <v>231501210.5</v>
      </c>
      <c r="AB96" s="34">
        <f t="shared" si="24"/>
        <v>5295147975</v>
      </c>
      <c r="AC96" s="34"/>
      <c r="AD96" s="32" t="str">
        <f>IF(AB96&gt;=$AD$13,"CUMPLE","NO CUMPLE")</f>
        <v>NO CUMPLE</v>
      </c>
      <c r="AE96" s="75">
        <f>+MAX(AE97:AE98)</f>
        <v>8945271318</v>
      </c>
      <c r="AF96" s="32"/>
      <c r="AG96" s="32" t="str">
        <f>+IF(AE96&gt;=$AG$13,"CUMPLE","NO CUMPLE")</f>
        <v>CUMPLE</v>
      </c>
      <c r="AH96" s="32">
        <f>IF(E96="","",(IF(W96=0,"INDETERMINADO",+U96/W96)))</f>
        <v>4.3434865309652189</v>
      </c>
      <c r="AI96" s="32" t="str">
        <f>IF(OR(AH96="",AH96&lt;$AI$13),"NO CUMPLE","CUMPLE")</f>
        <v>CUMPLE</v>
      </c>
      <c r="AJ96" s="32">
        <f>IF(U97="","",+X96/V96)</f>
        <v>0.57562422488821086</v>
      </c>
      <c r="AK96" s="32" t="str">
        <f>IF(OR(AJ96="",AJ96&gt;$AK$13),"NO CUMPLE","CUMPLE")</f>
        <v>CUMPLE</v>
      </c>
      <c r="AL96" s="32">
        <f>IF(AA96=0,"INDET",(IF(U97="","",Z96/AA96)))</f>
        <v>2.5544344183893588</v>
      </c>
      <c r="AM96" s="32" t="str">
        <f>IF(OR(AL96="",AL96&lt;$AM$13),"NO CUMPLE","CUMPLE")</f>
        <v>CUMPLE</v>
      </c>
      <c r="AN96" s="32" t="str">
        <f>IF(AND(AG96="CUMPLE",AI96="CUMPLE",AK96="CUMPLE",AM96="CUMPLE",AD96="CUMPLE"),"CUMPLE","NO CUMPLE")</f>
        <v>NO CUMPLE</v>
      </c>
      <c r="AO96" s="35">
        <f>IF(U97="","",+Z96/Y96)</f>
        <v>0.13829328262085464</v>
      </c>
      <c r="AP96" s="36" t="str">
        <f>IF(OR(AO96="",AO96&lt;$AP$13),"NO CUMPLE","CUMPLE")</f>
        <v>CUMPLE</v>
      </c>
      <c r="AQ96" s="35">
        <f>IF(U97="","",+Z96/V96)</f>
        <v>5.8688319004978902E-2</v>
      </c>
      <c r="AR96" s="36" t="str">
        <f>IF(OR(AQ96="",AQ96&lt;$AR$13),"NO CUMPLE","CUMPLE")</f>
        <v>CUMPLE</v>
      </c>
      <c r="AS96" s="36" t="str">
        <f>IF(U97="","",IF(AND(AP96="CUMPLE",AR96="CUMPLE"),"CUMPLE","NO CUMPLE"))</f>
        <v>CUMPLE</v>
      </c>
      <c r="AT96" s="36" t="s">
        <v>58</v>
      </c>
      <c r="AU96" s="32" t="str">
        <f>IF(U97="","",IF(AND(O96="CUMPLE",AS96="CUMPLE",AN96="CUMPLE",T96="CUMPLE",AT96="CUMPLE"),"CUMPLE","NO CUMPLE"))</f>
        <v>NO CUMPLE</v>
      </c>
      <c r="AV96" s="146" t="s">
        <v>182</v>
      </c>
      <c r="AW96" s="37"/>
    </row>
    <row r="97" spans="4:49" x14ac:dyDescent="0.15">
      <c r="D97" s="38">
        <f>+D96+0.1</f>
        <v>23.1</v>
      </c>
      <c r="E97" s="39" t="s">
        <v>183</v>
      </c>
      <c r="F97" s="40">
        <v>900381226</v>
      </c>
      <c r="G97" s="41">
        <v>0.5</v>
      </c>
      <c r="H97" s="42"/>
      <c r="I97" s="42"/>
      <c r="J97" s="42"/>
      <c r="K97" s="42"/>
      <c r="L97" s="42"/>
      <c r="M97" s="66"/>
      <c r="N97" s="42"/>
      <c r="O97" s="42"/>
      <c r="P97" s="43">
        <v>46073</v>
      </c>
      <c r="Q97" s="43">
        <v>45776</v>
      </c>
      <c r="R97" s="38" t="str">
        <f>IF((NETWORKDAYS(Q97,P97)-1)&gt;=10,"CUMPLE","NO CUMPLE")</f>
        <v>CUMPLE</v>
      </c>
      <c r="S97" s="38" t="str">
        <f>IF(('[2]DATOS INICIALES'!$C$4-P97)&lt;30,"CUMPLE","NO CUMPLE")</f>
        <v>CUMPLE</v>
      </c>
      <c r="T97" s="38" t="str">
        <f t="shared" si="19"/>
        <v>CUMPLE</v>
      </c>
      <c r="U97" s="145">
        <v>10661768131</v>
      </c>
      <c r="V97" s="145">
        <v>14097063866</v>
      </c>
      <c r="W97" s="145">
        <v>1716496813</v>
      </c>
      <c r="X97" s="145">
        <v>8043163732</v>
      </c>
      <c r="Y97" s="145">
        <v>6053900134</v>
      </c>
      <c r="Z97" s="145">
        <v>736706235</v>
      </c>
      <c r="AA97" s="145">
        <v>228320561</v>
      </c>
      <c r="AB97" s="44">
        <f>+U97-W97</f>
        <v>8945271318</v>
      </c>
      <c r="AC97" s="48"/>
      <c r="AD97" s="47"/>
      <c r="AE97" s="67">
        <f>+U97-W97</f>
        <v>8945271318</v>
      </c>
      <c r="AF97" s="47"/>
      <c r="AG97" s="68"/>
      <c r="AH97" s="45"/>
      <c r="AI97" s="45"/>
      <c r="AJ97" s="45"/>
      <c r="AK97" s="45"/>
      <c r="AL97" s="45"/>
      <c r="AM97" s="45"/>
      <c r="AN97" s="46"/>
      <c r="AO97" s="47"/>
      <c r="AP97" s="47"/>
      <c r="AQ97" s="47"/>
      <c r="AR97" s="47"/>
      <c r="AS97" s="46"/>
      <c r="AT97" s="46"/>
      <c r="AU97" s="46"/>
      <c r="AV97" s="47"/>
      <c r="AW97" s="47"/>
    </row>
    <row r="98" spans="4:49" ht="26" x14ac:dyDescent="0.15">
      <c r="D98" s="38">
        <f>+D97+0.1</f>
        <v>23.200000000000003</v>
      </c>
      <c r="E98" s="39" t="s">
        <v>184</v>
      </c>
      <c r="F98" s="40">
        <v>860510291</v>
      </c>
      <c r="G98" s="41">
        <v>0.5</v>
      </c>
      <c r="H98" s="42"/>
      <c r="I98" s="42"/>
      <c r="J98" s="42"/>
      <c r="K98" s="42"/>
      <c r="L98" s="42"/>
      <c r="M98" s="66"/>
      <c r="N98" s="42"/>
      <c r="O98" s="42"/>
      <c r="P98" s="43">
        <v>46073</v>
      </c>
      <c r="Q98" s="43">
        <v>45749</v>
      </c>
      <c r="R98" s="38" t="str">
        <f>IF((NETWORKDAYS(Q98,P98)-1)&gt;=10,"CUMPLE","NO CUMPLE")</f>
        <v>CUMPLE</v>
      </c>
      <c r="S98" s="38" t="str">
        <f>IF(('[2]DATOS INICIALES'!$C$4-P98)&lt;30,"CUMPLE","NO CUMPLE")</f>
        <v>CUMPLE</v>
      </c>
      <c r="T98" s="38" t="str">
        <f t="shared" si="19"/>
        <v>CUMPLE</v>
      </c>
      <c r="U98" s="145">
        <v>3095968708</v>
      </c>
      <c r="V98" s="145">
        <v>6055316370</v>
      </c>
      <c r="W98" s="145">
        <v>1450944076</v>
      </c>
      <c r="X98" s="145">
        <v>3557034521</v>
      </c>
      <c r="Y98" s="145">
        <v>2498281849</v>
      </c>
      <c r="Z98" s="145">
        <v>446003085</v>
      </c>
      <c r="AA98" s="145">
        <v>234681860</v>
      </c>
      <c r="AB98" s="44">
        <f>+U98-W98</f>
        <v>1645024632</v>
      </c>
      <c r="AC98" s="48"/>
      <c r="AD98" s="47"/>
      <c r="AE98" s="67">
        <f>+U98-W98</f>
        <v>1645024632</v>
      </c>
      <c r="AF98" s="47"/>
      <c r="AG98" s="68"/>
      <c r="AH98" s="45"/>
      <c r="AI98" s="45"/>
      <c r="AJ98" s="45"/>
      <c r="AK98" s="45"/>
      <c r="AL98" s="45"/>
      <c r="AM98" s="45"/>
      <c r="AN98" s="46"/>
      <c r="AO98" s="47"/>
      <c r="AP98" s="47"/>
      <c r="AQ98" s="47"/>
      <c r="AR98" s="47"/>
      <c r="AS98" s="46"/>
      <c r="AT98" s="46"/>
      <c r="AU98" s="46"/>
      <c r="AV98" s="47"/>
      <c r="AW98" s="47"/>
    </row>
    <row r="99" spans="4:49" ht="15" x14ac:dyDescent="0.15">
      <c r="D99" s="62">
        <v>24</v>
      </c>
      <c r="E99" s="63" t="str">
        <f>IF(D99="","",VLOOKUP(D99,'[2]DATOS INICIALES'!$B$10:$D$69,2,0))</f>
        <v>CONSORCIO INTERVENTOR VIAL</v>
      </c>
      <c r="F99" s="64">
        <f>IF(D99="","",VLOOKUP(D99,'[2]DATOS INICIALES'!$B$10:$D$69,3,0))</f>
        <v>0</v>
      </c>
      <c r="G99" s="65">
        <f>SUM(G100:G102)</f>
        <v>1</v>
      </c>
      <c r="H99" s="64"/>
      <c r="I99" s="30" t="s">
        <v>55</v>
      </c>
      <c r="J99" s="30" t="str">
        <f>IF(I99="SI","CUMPLE", "NO CUMPLE")</f>
        <v>CUMPLE</v>
      </c>
      <c r="K99" s="30" t="s">
        <v>55</v>
      </c>
      <c r="L99" s="30" t="str">
        <f>IF(K99="SI","CUMPLE", "NO CUMPLE")</f>
        <v>CUMPLE</v>
      </c>
      <c r="M99" s="51">
        <f>+IFERROR(VLOOKUP(D99,'[2]DATOS INICIALES'!$B$10:$G$100,6,0),0)</f>
        <v>69477143896</v>
      </c>
      <c r="N99" s="30" t="str">
        <f>IF(M99&lt;='[2]DATOS INICIALES'!$C$6,"CUMPLE","NO CUMPLE")</f>
        <v>CUMPLE</v>
      </c>
      <c r="O99" s="30" t="str">
        <f>IF(AND(J99="CUMPLE",L99="CUMPLE",N99="CUMPLE"),"CUMPLE","NO CUMPLE")</f>
        <v>CUMPLE</v>
      </c>
      <c r="P99" s="31"/>
      <c r="Q99" s="31"/>
      <c r="R99" s="32" t="str">
        <f>IF(AND(R100="CUMPLE",R101="CUMPLE",R102="CUMPLE"),"CUMPLE","NO CUMPLE")</f>
        <v>CUMPLE</v>
      </c>
      <c r="S99" s="32" t="str">
        <f>IF(AND(S100="CUMPLE",S101="CUMPLE",S102="CUMPLE"),"CUMPLE","NO CUMPLE")</f>
        <v>CUMPLE</v>
      </c>
      <c r="T99" s="32" t="str">
        <f t="shared" si="19"/>
        <v>CUMPLE</v>
      </c>
      <c r="U99" s="33">
        <f t="shared" ref="U99:AB99" si="25">+(U100*$G100)+(U101*$G101)+(U102*$G102)</f>
        <v>143061676700</v>
      </c>
      <c r="V99" s="33">
        <f t="shared" si="25"/>
        <v>151758599600</v>
      </c>
      <c r="W99" s="33">
        <f t="shared" si="25"/>
        <v>38941039100</v>
      </c>
      <c r="X99" s="33">
        <f t="shared" si="25"/>
        <v>42451761900</v>
      </c>
      <c r="Y99" s="33">
        <f t="shared" si="25"/>
        <v>109306837700</v>
      </c>
      <c r="Z99" s="33">
        <f t="shared" si="25"/>
        <v>30834869300</v>
      </c>
      <c r="AA99" s="33">
        <f t="shared" si="25"/>
        <v>401631300</v>
      </c>
      <c r="AB99" s="34">
        <f t="shared" si="25"/>
        <v>104120637600</v>
      </c>
      <c r="AC99" s="34"/>
      <c r="AD99" s="32" t="str">
        <f>IF(AB99&gt;=$AD$13,"CUMPLE","NO CUMPLE")</f>
        <v>CUMPLE</v>
      </c>
      <c r="AE99" s="75">
        <f>+MAX(AE100:AE102)</f>
        <v>168459608000</v>
      </c>
      <c r="AF99" s="32"/>
      <c r="AG99" s="32" t="str">
        <f>+IF(AE99&gt;=$AG$13,"CUMPLE","NO CUMPLE")</f>
        <v>CUMPLE</v>
      </c>
      <c r="AH99" s="32">
        <f>IF(E99="","",(IF(W99=0,"INDETERMINADO",+U99/W99)))</f>
        <v>3.6738022406803212</v>
      </c>
      <c r="AI99" s="32" t="str">
        <f>IF(OR(AH99="",AH99&lt;$AI$13),"NO CUMPLE","CUMPLE")</f>
        <v>CUMPLE</v>
      </c>
      <c r="AJ99" s="32">
        <f>IF(U100="","",+X99/V99)</f>
        <v>0.27973216682212981</v>
      </c>
      <c r="AK99" s="32" t="str">
        <f>IF(OR(AJ99="",AJ99&gt;$AK$13),"NO CUMPLE","CUMPLE")</f>
        <v>CUMPLE</v>
      </c>
      <c r="AL99" s="32">
        <f>IF(AA99=0,"INDET",(IF(U100="","",Z99/AA99)))</f>
        <v>76.774069401463478</v>
      </c>
      <c r="AM99" s="32" t="str">
        <f>IF(OR(AL99="",AL99&lt;$AM$13),"NO CUMPLE","CUMPLE")</f>
        <v>CUMPLE</v>
      </c>
      <c r="AN99" s="32" t="str">
        <f>IF(AND(AG99="CUMPLE",AI99="CUMPLE",AK99="CUMPLE",AM99="CUMPLE",AD99="CUMPLE"),"CUMPLE","NO CUMPLE")</f>
        <v>CUMPLE</v>
      </c>
      <c r="AO99" s="35">
        <f>IF(U100="","",+Z99/Y99)</f>
        <v>0.28209460587112017</v>
      </c>
      <c r="AP99" s="36" t="str">
        <f>IF(OR(AO99="",AO99&lt;$AP$13),"NO CUMPLE","CUMPLE")</f>
        <v>CUMPLE</v>
      </c>
      <c r="AQ99" s="35">
        <f>IF(U100="","",+Z99/V99)</f>
        <v>0.20318367052195704</v>
      </c>
      <c r="AR99" s="36" t="str">
        <f>IF(OR(AQ99="",AQ99&lt;$AR$13),"NO CUMPLE","CUMPLE")</f>
        <v>CUMPLE</v>
      </c>
      <c r="AS99" s="36" t="str">
        <f>IF(U100="","",IF(AND(AP99="CUMPLE",AR99="CUMPLE"),"CUMPLE","NO CUMPLE"))</f>
        <v>CUMPLE</v>
      </c>
      <c r="AT99" s="36" t="s">
        <v>58</v>
      </c>
      <c r="AU99" s="32" t="str">
        <f>IF(U100="","",IF(AND(O99="CUMPLE",AS99="CUMPLE",AN99="CUMPLE",T99="CUMPLE",AT99="CUMPLE"),"CUMPLE","NO CUMPLE"))</f>
        <v>CUMPLE</v>
      </c>
      <c r="AV99" s="37"/>
      <c r="AW99" s="37"/>
    </row>
    <row r="100" spans="4:49" x14ac:dyDescent="0.15">
      <c r="D100" s="38">
        <f>+D99+0.1</f>
        <v>24.1</v>
      </c>
      <c r="E100" s="39" t="s">
        <v>185</v>
      </c>
      <c r="F100" s="40">
        <v>860008018</v>
      </c>
      <c r="G100" s="41">
        <v>0.6</v>
      </c>
      <c r="H100" s="42"/>
      <c r="I100" s="42"/>
      <c r="J100" s="42"/>
      <c r="K100" s="42"/>
      <c r="L100" s="42"/>
      <c r="M100" s="66"/>
      <c r="N100" s="42"/>
      <c r="O100" s="42"/>
      <c r="P100" s="43">
        <v>46080</v>
      </c>
      <c r="Q100" s="43">
        <v>45779</v>
      </c>
      <c r="R100" s="38" t="str">
        <f>IF((NETWORKDAYS(Q100,P100)-1)&gt;=10,"CUMPLE","NO CUMPLE")</f>
        <v>CUMPLE</v>
      </c>
      <c r="S100" s="38" t="str">
        <f>IF(('[2]DATOS INICIALES'!$C$4-P100)&lt;30,"CUMPLE","NO CUMPLE")</f>
        <v>CUMPLE</v>
      </c>
      <c r="T100" s="38" t="str">
        <f t="shared" si="19"/>
        <v>CUMPLE</v>
      </c>
      <c r="U100" s="145">
        <v>230272036000</v>
      </c>
      <c r="V100" s="145">
        <v>242159580000</v>
      </c>
      <c r="W100" s="145">
        <v>61812428000</v>
      </c>
      <c r="X100" s="145">
        <v>66426546000</v>
      </c>
      <c r="Y100" s="145">
        <v>175733034000</v>
      </c>
      <c r="Z100" s="145">
        <v>49454108000</v>
      </c>
      <c r="AA100" s="145">
        <v>668242000</v>
      </c>
      <c r="AB100" s="44">
        <f>+U100-W100</f>
        <v>168459608000</v>
      </c>
      <c r="AC100" s="48"/>
      <c r="AD100" s="47"/>
      <c r="AE100" s="67">
        <f>+U100-W100</f>
        <v>168459608000</v>
      </c>
      <c r="AF100" s="47"/>
      <c r="AG100" s="68"/>
      <c r="AH100" s="45"/>
      <c r="AI100" s="45"/>
      <c r="AJ100" s="45"/>
      <c r="AK100" s="45"/>
      <c r="AL100" s="45"/>
      <c r="AM100" s="45"/>
      <c r="AN100" s="46"/>
      <c r="AO100" s="47"/>
      <c r="AP100" s="47"/>
      <c r="AQ100" s="47"/>
      <c r="AR100" s="47"/>
      <c r="AS100" s="46"/>
      <c r="AT100" s="46"/>
      <c r="AU100" s="46"/>
      <c r="AV100" s="47"/>
      <c r="AW100" s="47"/>
    </row>
    <row r="101" spans="4:49" x14ac:dyDescent="0.15">
      <c r="D101" s="38">
        <f>+D100+0.1</f>
        <v>24.200000000000003</v>
      </c>
      <c r="E101" s="39" t="s">
        <v>186</v>
      </c>
      <c r="F101" s="40">
        <v>900269775</v>
      </c>
      <c r="G101" s="41">
        <v>0.1</v>
      </c>
      <c r="H101" s="42"/>
      <c r="I101" s="42"/>
      <c r="J101" s="42"/>
      <c r="K101" s="42"/>
      <c r="L101" s="42"/>
      <c r="M101" s="66"/>
      <c r="N101" s="42"/>
      <c r="O101" s="42"/>
      <c r="P101" s="43">
        <v>46087</v>
      </c>
      <c r="Q101" s="43">
        <v>45782</v>
      </c>
      <c r="R101" s="38" t="str">
        <f>IF((NETWORKDAYS(Q101,P101)-1)&gt;=10,"CUMPLE","NO CUMPLE")</f>
        <v>CUMPLE</v>
      </c>
      <c r="S101" s="38" t="str">
        <f>IF(('[2]DATOS INICIALES'!$C$4-P101)&lt;30,"CUMPLE","NO CUMPLE")</f>
        <v>CUMPLE</v>
      </c>
      <c r="T101" s="38" t="str">
        <f t="shared" si="19"/>
        <v>CUMPLE</v>
      </c>
      <c r="U101" s="145">
        <v>34875656000</v>
      </c>
      <c r="V101" s="145">
        <v>50500358000</v>
      </c>
      <c r="W101" s="145">
        <v>17640413000</v>
      </c>
      <c r="X101" s="145">
        <v>25062933000</v>
      </c>
      <c r="Y101" s="145">
        <v>25437425000</v>
      </c>
      <c r="Z101" s="145">
        <v>5559350000</v>
      </c>
      <c r="AA101" s="47">
        <v>0</v>
      </c>
      <c r="AB101" s="44">
        <f>+U101-W101</f>
        <v>17235243000</v>
      </c>
      <c r="AC101" s="48"/>
      <c r="AD101" s="47"/>
      <c r="AE101" s="67">
        <f>+U101-W101</f>
        <v>17235243000</v>
      </c>
      <c r="AF101" s="47"/>
      <c r="AG101" s="68"/>
      <c r="AH101" s="45"/>
      <c r="AI101" s="45"/>
      <c r="AJ101" s="45"/>
      <c r="AK101" s="45"/>
      <c r="AL101" s="45"/>
      <c r="AM101" s="45"/>
      <c r="AN101" s="46"/>
      <c r="AO101" s="47"/>
      <c r="AP101" s="47"/>
      <c r="AQ101" s="47"/>
      <c r="AR101" s="47"/>
      <c r="AS101" s="46"/>
      <c r="AT101" s="46"/>
      <c r="AU101" s="46"/>
      <c r="AV101" s="47"/>
      <c r="AW101" s="47"/>
    </row>
    <row r="102" spans="4:49" x14ac:dyDescent="0.15">
      <c r="D102" s="38">
        <f>+D101+0.1</f>
        <v>24.300000000000004</v>
      </c>
      <c r="E102" s="39" t="s">
        <v>187</v>
      </c>
      <c r="F102" s="40">
        <v>901616027</v>
      </c>
      <c r="G102" s="41">
        <v>0.3</v>
      </c>
      <c r="H102" s="42"/>
      <c r="I102" s="42"/>
      <c r="J102" s="42"/>
      <c r="K102" s="42"/>
      <c r="L102" s="42"/>
      <c r="M102" s="66"/>
      <c r="N102" s="42"/>
      <c r="O102" s="42"/>
      <c r="P102" s="43">
        <v>46066</v>
      </c>
      <c r="Q102" s="43">
        <v>45736</v>
      </c>
      <c r="R102" s="38" t="str">
        <f>IF((NETWORKDAYS(Q102,P102)-1)&gt;=10,"CUMPLE","NO CUMPLE")</f>
        <v>CUMPLE</v>
      </c>
      <c r="S102" s="38" t="str">
        <f>IF(('[2]DATOS INICIALES'!$C$4-P102)&lt;30,"CUMPLE","NO CUMPLE")</f>
        <v>CUMPLE</v>
      </c>
      <c r="T102" s="38" t="str">
        <f t="shared" si="19"/>
        <v>CUMPLE</v>
      </c>
      <c r="U102" s="145">
        <v>4702965000</v>
      </c>
      <c r="V102" s="145">
        <v>4709386000</v>
      </c>
      <c r="W102" s="145">
        <v>298470000</v>
      </c>
      <c r="X102" s="145">
        <v>298470000</v>
      </c>
      <c r="Y102" s="145">
        <v>4410916000</v>
      </c>
      <c r="Z102" s="145">
        <v>2021565000</v>
      </c>
      <c r="AA102" s="145">
        <v>2287000</v>
      </c>
      <c r="AB102" s="44">
        <f>+U102-W102</f>
        <v>4404495000</v>
      </c>
      <c r="AC102" s="48"/>
      <c r="AD102" s="47"/>
      <c r="AE102" s="67">
        <f>+U102-W102</f>
        <v>4404495000</v>
      </c>
      <c r="AF102" s="47"/>
      <c r="AG102" s="68"/>
      <c r="AH102" s="45"/>
      <c r="AI102" s="45"/>
      <c r="AJ102" s="45"/>
      <c r="AK102" s="45"/>
      <c r="AL102" s="45"/>
      <c r="AM102" s="45"/>
      <c r="AN102" s="46"/>
      <c r="AO102" s="47"/>
      <c r="AP102" s="47"/>
      <c r="AQ102" s="47"/>
      <c r="AR102" s="47"/>
      <c r="AS102" s="46"/>
      <c r="AT102" s="46"/>
      <c r="AU102" s="46"/>
      <c r="AV102" s="47"/>
      <c r="AW102" s="47"/>
    </row>
    <row r="103" spans="4:49" ht="15" x14ac:dyDescent="0.15">
      <c r="D103" s="62">
        <v>25</v>
      </c>
      <c r="E103" s="63" t="str">
        <f>IF(D103="","",VLOOKUP(D103,'[2]DATOS INICIALES'!$B$10:$D$69,2,0))</f>
        <v>CONSORCIO ID ESTANQUILLO POPAYAN</v>
      </c>
      <c r="F103" s="64">
        <f>IF(D103="","",VLOOKUP(D103,'[2]DATOS INICIALES'!$B$10:$D$69,3,0))</f>
        <v>0</v>
      </c>
      <c r="G103" s="65">
        <f>SUM(G104:G105)</f>
        <v>1</v>
      </c>
      <c r="H103" s="64"/>
      <c r="I103" s="30" t="s">
        <v>55</v>
      </c>
      <c r="J103" s="30" t="str">
        <f>IF(I103="SI","CUMPLE", "NO CUMPLE")</f>
        <v>CUMPLE</v>
      </c>
      <c r="K103" s="30" t="s">
        <v>55</v>
      </c>
      <c r="L103" s="30" t="str">
        <f>IF(K103="SI","CUMPLE", "NO CUMPLE")</f>
        <v>CUMPLE</v>
      </c>
      <c r="M103" s="51">
        <f>+IFERROR(VLOOKUP(D103,'[2]DATOS INICIALES'!$B$10:$G$100,6,0),0)</f>
        <v>69477143896</v>
      </c>
      <c r="N103" s="30" t="str">
        <f>IF(M103&lt;='[2]DATOS INICIALES'!$C$6,"CUMPLE","NO CUMPLE")</f>
        <v>CUMPLE</v>
      </c>
      <c r="O103" s="30" t="str">
        <f>IF(AND(J103="CUMPLE",L103="CUMPLE",N103="CUMPLE"),"CUMPLE","NO CUMPLE")</f>
        <v>CUMPLE</v>
      </c>
      <c r="P103" s="31"/>
      <c r="Q103" s="31"/>
      <c r="R103" s="32" t="str">
        <f>IF(AND(R104="CUMPLE",R105="CUMPLE"),"CUMPLE","NO CUMPLE")</f>
        <v>CUMPLE</v>
      </c>
      <c r="S103" s="32" t="str">
        <f>IF(AND(S104="CUMPLE",S105="CUMPLE"),"CUMPLE","NO CUMPLE")</f>
        <v>CUMPLE</v>
      </c>
      <c r="T103" s="32" t="str">
        <f t="shared" si="19"/>
        <v>CUMPLE</v>
      </c>
      <c r="U103" s="33">
        <f t="shared" ref="U103:AB103" si="26">+(U104*$G104)+(U105*$G105)</f>
        <v>8295204775.0499992</v>
      </c>
      <c r="V103" s="33">
        <f t="shared" si="26"/>
        <v>8405593794.6999998</v>
      </c>
      <c r="W103" s="33">
        <f t="shared" si="26"/>
        <v>2241283374.7999997</v>
      </c>
      <c r="X103" s="33">
        <f t="shared" si="26"/>
        <v>4498974942.75</v>
      </c>
      <c r="Y103" s="33">
        <f t="shared" si="26"/>
        <v>3906618851.9499998</v>
      </c>
      <c r="Z103" s="33">
        <f t="shared" si="26"/>
        <v>604885443.04999995</v>
      </c>
      <c r="AA103" s="33">
        <f t="shared" si="26"/>
        <v>331703.75</v>
      </c>
      <c r="AB103" s="34">
        <f t="shared" si="26"/>
        <v>6053921400.249999</v>
      </c>
      <c r="AC103" s="34"/>
      <c r="AD103" s="32" t="str">
        <f>IF(AB103&gt;=$AD$13,"CUMPLE","NO CUMPLE")</f>
        <v>CUMPLE</v>
      </c>
      <c r="AE103" s="75">
        <f>+MAX(AE104:AE105)</f>
        <v>16688531201</v>
      </c>
      <c r="AF103" s="32"/>
      <c r="AG103" s="32" t="str">
        <f>+IF(AE103&gt;=$AG$13,"CUMPLE","NO CUMPLE")</f>
        <v>CUMPLE</v>
      </c>
      <c r="AH103" s="32">
        <f>IF(E103="","",(IF(W103=0,"INDETERMINADO",+U103/W103)))</f>
        <v>3.7010959293758288</v>
      </c>
      <c r="AI103" s="32" t="str">
        <f>IF(OR(AH103="",AH103&lt;$AI$13),"NO CUMPLE","CUMPLE")</f>
        <v>CUMPLE</v>
      </c>
      <c r="AJ103" s="32">
        <f>IF(U104="","",+X103/V103)</f>
        <v>0.53523582659761049</v>
      </c>
      <c r="AK103" s="32" t="str">
        <f>IF(OR(AJ103="",AJ103&gt;$AK$13),"NO CUMPLE","CUMPLE")</f>
        <v>CUMPLE</v>
      </c>
      <c r="AL103" s="32">
        <f>IF(AA103=0,"INDET",(IF(U104="","",Z103/AA103)))</f>
        <v>1823.5713134084253</v>
      </c>
      <c r="AM103" s="32" t="str">
        <f>IF(OR(AL103="",AL103&lt;$AM$13),"NO CUMPLE","CUMPLE")</f>
        <v>CUMPLE</v>
      </c>
      <c r="AN103" s="32" t="str">
        <f>IF(AND(AG103="CUMPLE",AI103="CUMPLE",AK103="CUMPLE",AM103="CUMPLE",AD103="CUMPLE"),"CUMPLE","NO CUMPLE")</f>
        <v>CUMPLE</v>
      </c>
      <c r="AO103" s="35">
        <f>IF(U104="","",+Z103/Y103)</f>
        <v>0.15483605285631324</v>
      </c>
      <c r="AP103" s="36" t="str">
        <f>IF(OR(AO103="",AO103&lt;$AP$13),"NO CUMPLE","CUMPLE")</f>
        <v>CUMPLE</v>
      </c>
      <c r="AQ103" s="35">
        <f>IF(U104="","",+Z103/V103)</f>
        <v>7.196225011865312E-2</v>
      </c>
      <c r="AR103" s="36" t="str">
        <f>IF(OR(AQ103="",AQ103&lt;$AR$13),"NO CUMPLE","CUMPLE")</f>
        <v>CUMPLE</v>
      </c>
      <c r="AS103" s="36" t="str">
        <f>IF(U104="","",IF(AND(AP103="CUMPLE",AR103="CUMPLE"),"CUMPLE","NO CUMPLE"))</f>
        <v>CUMPLE</v>
      </c>
      <c r="AT103" s="36" t="s">
        <v>58</v>
      </c>
      <c r="AU103" s="32" t="str">
        <f>IF(U104="","",IF(AND(O103="CUMPLE",AS103="CUMPLE",AN103="CUMPLE",T103="CUMPLE",AT103="CUMPLE"),"CUMPLE","NO CUMPLE"))</f>
        <v>CUMPLE</v>
      </c>
      <c r="AV103" s="37" t="s">
        <v>188</v>
      </c>
      <c r="AW103" s="37"/>
    </row>
    <row r="104" spans="4:49" x14ac:dyDescent="0.15">
      <c r="D104" s="38">
        <f>+D103+0.1</f>
        <v>25.1</v>
      </c>
      <c r="E104" s="39" t="s">
        <v>189</v>
      </c>
      <c r="F104" s="40">
        <v>860027091</v>
      </c>
      <c r="G104" s="41">
        <v>0.35</v>
      </c>
      <c r="H104" s="42"/>
      <c r="I104" s="42"/>
      <c r="J104" s="42"/>
      <c r="K104" s="42"/>
      <c r="L104" s="42"/>
      <c r="M104" s="66"/>
      <c r="N104" s="42"/>
      <c r="O104" s="42"/>
      <c r="P104" s="43">
        <v>46069</v>
      </c>
      <c r="Q104" s="43">
        <v>45768</v>
      </c>
      <c r="R104" s="38" t="str">
        <f>IF((NETWORKDAYS(Q104,P104)-1)&gt;=10,"CUMPLE","NO CUMPLE")</f>
        <v>CUMPLE</v>
      </c>
      <c r="S104" s="38" t="str">
        <f>IF(('[2]DATOS INICIALES'!$C$4-P104)&lt;30,"CUMPLE","NO CUMPLE")</f>
        <v>CUMPLE</v>
      </c>
      <c r="T104" s="38" t="str">
        <f t="shared" si="19"/>
        <v>CUMPLE</v>
      </c>
      <c r="U104" s="145">
        <v>22419287295</v>
      </c>
      <c r="V104" s="145">
        <v>22734684494</v>
      </c>
      <c r="W104" s="145">
        <v>5730756094</v>
      </c>
      <c r="X104" s="145">
        <v>12181303431</v>
      </c>
      <c r="Y104" s="145">
        <v>10553381063</v>
      </c>
      <c r="Z104" s="145">
        <v>1496354998</v>
      </c>
      <c r="AA104" s="145">
        <v>947725</v>
      </c>
      <c r="AB104" s="44">
        <f>+U104-W104</f>
        <v>16688531201</v>
      </c>
      <c r="AC104" s="48"/>
      <c r="AD104" s="47"/>
      <c r="AE104" s="67">
        <f>+U104-W104</f>
        <v>16688531201</v>
      </c>
      <c r="AF104" s="47"/>
      <c r="AG104" s="68"/>
      <c r="AH104" s="45"/>
      <c r="AI104" s="45"/>
      <c r="AJ104" s="45"/>
      <c r="AK104" s="45"/>
      <c r="AL104" s="45"/>
      <c r="AM104" s="45"/>
      <c r="AN104" s="46"/>
      <c r="AO104" s="47"/>
      <c r="AP104" s="47"/>
      <c r="AQ104" s="47"/>
      <c r="AR104" s="47"/>
      <c r="AS104" s="46"/>
      <c r="AT104" s="46"/>
      <c r="AU104" s="46"/>
      <c r="AV104" s="47"/>
      <c r="AW104" s="47"/>
    </row>
    <row r="105" spans="4:49" x14ac:dyDescent="0.15">
      <c r="D105" s="38">
        <f>+D104+0.1</f>
        <v>25.200000000000003</v>
      </c>
      <c r="E105" s="39" t="s">
        <v>190</v>
      </c>
      <c r="F105" s="40">
        <v>901682746</v>
      </c>
      <c r="G105" s="41">
        <v>0.65</v>
      </c>
      <c r="H105" s="42"/>
      <c r="I105" s="42"/>
      <c r="J105" s="42"/>
      <c r="K105" s="42"/>
      <c r="L105" s="42"/>
      <c r="M105" s="66"/>
      <c r="N105" s="42"/>
      <c r="O105" s="42"/>
      <c r="P105" s="43">
        <v>46069</v>
      </c>
      <c r="Q105" s="43">
        <v>45768</v>
      </c>
      <c r="R105" s="38" t="str">
        <f>IF((NETWORKDAYS(Q105,P105)-1)&gt;=10,"CUMPLE","NO CUMPLE")</f>
        <v>CUMPLE</v>
      </c>
      <c r="S105" s="38" t="str">
        <f>IF(('[2]DATOS INICIALES'!$C$4-P105)&lt;30,"CUMPLE","NO CUMPLE")</f>
        <v>CUMPLE</v>
      </c>
      <c r="T105" s="38" t="str">
        <f t="shared" si="19"/>
        <v>CUMPLE</v>
      </c>
      <c r="U105" s="145">
        <v>689929572</v>
      </c>
      <c r="V105" s="145">
        <v>689929572</v>
      </c>
      <c r="W105" s="145">
        <v>362336526</v>
      </c>
      <c r="X105" s="145">
        <v>362336526</v>
      </c>
      <c r="Y105" s="145">
        <v>327593046</v>
      </c>
      <c r="Z105" s="145">
        <v>124863375</v>
      </c>
      <c r="AA105" s="47">
        <v>0</v>
      </c>
      <c r="AB105" s="44">
        <f>+U105-W105</f>
        <v>327593046</v>
      </c>
      <c r="AC105" s="48"/>
      <c r="AD105" s="47"/>
      <c r="AE105" s="67">
        <f>+U105-W105</f>
        <v>327593046</v>
      </c>
      <c r="AF105" s="47"/>
      <c r="AG105" s="68"/>
      <c r="AH105" s="45"/>
      <c r="AI105" s="45"/>
      <c r="AJ105" s="45"/>
      <c r="AK105" s="45"/>
      <c r="AL105" s="45"/>
      <c r="AM105" s="45"/>
      <c r="AN105" s="46"/>
      <c r="AO105" s="47"/>
      <c r="AP105" s="47"/>
      <c r="AQ105" s="47"/>
      <c r="AR105" s="47"/>
      <c r="AS105" s="46"/>
      <c r="AT105" s="46"/>
      <c r="AU105" s="46"/>
      <c r="AV105" s="47"/>
      <c r="AW105" s="47"/>
    </row>
    <row r="106" spans="4:49" ht="15" x14ac:dyDescent="0.15">
      <c r="D106" s="62">
        <v>26</v>
      </c>
      <c r="E106" s="63" t="str">
        <f>IF(D106="","",VLOOKUP(D106,'[2]DATOS INICIALES'!$B$10:$D$69,2,0))</f>
        <v>CONSORCIO TG ESTANQUILLO POPAYAN</v>
      </c>
      <c r="F106" s="64">
        <f>IF(D106="","",VLOOKUP(D106,'[2]DATOS INICIALES'!$B$10:$D$69,3,0))</f>
        <v>0</v>
      </c>
      <c r="G106" s="65">
        <f>SUM(G107:G108)</f>
        <v>1</v>
      </c>
      <c r="H106" s="64"/>
      <c r="I106" s="30" t="s">
        <v>55</v>
      </c>
      <c r="J106" s="30" t="str">
        <f>IF(I106="SI","CUMPLE", "NO CUMPLE")</f>
        <v>CUMPLE</v>
      </c>
      <c r="K106" s="30" t="s">
        <v>55</v>
      </c>
      <c r="L106" s="30" t="str">
        <f>IF(K106="SI","CUMPLE", "NO CUMPLE")</f>
        <v>CUMPLE</v>
      </c>
      <c r="M106" s="51">
        <f>+IFERROR(VLOOKUP(D106,'[2]DATOS INICIALES'!$B$10:$G$100,6,0),0)</f>
        <v>69477143896</v>
      </c>
      <c r="N106" s="30" t="str">
        <f>IF(M106&lt;='[2]DATOS INICIALES'!$C$6,"CUMPLE","NO CUMPLE")</f>
        <v>CUMPLE</v>
      </c>
      <c r="O106" s="30" t="str">
        <f>IF(AND(J106="CUMPLE",L106="CUMPLE",N106="CUMPLE"),"CUMPLE","NO CUMPLE")</f>
        <v>CUMPLE</v>
      </c>
      <c r="P106" s="31"/>
      <c r="Q106" s="31"/>
      <c r="R106" s="32" t="str">
        <f>IF(AND(R107="CUMPLE",R108="CUMPLE"),"CUMPLE","NO CUMPLE")</f>
        <v>CUMPLE</v>
      </c>
      <c r="S106" s="32" t="str">
        <f>IF(AND(S107="CUMPLE",S108="CUMPLE"),"CUMPLE","NO CUMPLE")</f>
        <v>CUMPLE</v>
      </c>
      <c r="T106" s="32" t="str">
        <f t="shared" si="19"/>
        <v>CUMPLE</v>
      </c>
      <c r="U106" s="33">
        <f t="shared" ref="U106:AB106" si="27">+(U107*$G107)+(U108*$G108)</f>
        <v>23127260362.5</v>
      </c>
      <c r="V106" s="33">
        <f t="shared" si="27"/>
        <v>25450660672</v>
      </c>
      <c r="W106" s="33">
        <f t="shared" si="27"/>
        <v>4744438800</v>
      </c>
      <c r="X106" s="33">
        <f t="shared" si="27"/>
        <v>4744438800</v>
      </c>
      <c r="Y106" s="33">
        <f t="shared" si="27"/>
        <v>20706221872</v>
      </c>
      <c r="Z106" s="33">
        <f t="shared" si="27"/>
        <v>16413329508.5</v>
      </c>
      <c r="AA106" s="33">
        <f t="shared" si="27"/>
        <v>148550.5</v>
      </c>
      <c r="AB106" s="34">
        <f t="shared" si="27"/>
        <v>18382821562.5</v>
      </c>
      <c r="AC106" s="34"/>
      <c r="AD106" s="32" t="str">
        <f>IF(AB106&gt;=$AD$13,"CUMPLE","NO CUMPLE")</f>
        <v>CUMPLE</v>
      </c>
      <c r="AE106" s="75">
        <f>+MAX(AE107:AE108)</f>
        <v>31153937637</v>
      </c>
      <c r="AF106" s="32"/>
      <c r="AG106" s="32" t="str">
        <f>+IF(AE106&gt;=$AG$13,"CUMPLE","NO CUMPLE")</f>
        <v>CUMPLE</v>
      </c>
      <c r="AH106" s="32">
        <f>IF(E106="","",(IF(W106=0,"INDETERMINADO",+U106/W106)))</f>
        <v>4.8746040021635437</v>
      </c>
      <c r="AI106" s="32" t="str">
        <f>IF(OR(AH106="",AH106&lt;$AI$13),"NO CUMPLE","CUMPLE")</f>
        <v>CUMPLE</v>
      </c>
      <c r="AJ106" s="32">
        <f>IF(U107="","",+X106/V106)</f>
        <v>0.18641711746287512</v>
      </c>
      <c r="AK106" s="32" t="str">
        <f>IF(OR(AJ106="",AJ106&gt;$AK$13),"NO CUMPLE","CUMPLE")</f>
        <v>CUMPLE</v>
      </c>
      <c r="AL106" s="32">
        <f>IF(AA106=0,"INDET",(IF(U107="","",Z106/AA106)))</f>
        <v>110489.89743218636</v>
      </c>
      <c r="AM106" s="32" t="str">
        <f>IF(OR(AL106="",AL106&lt;$AM$13),"NO CUMPLE","CUMPLE")</f>
        <v>CUMPLE</v>
      </c>
      <c r="AN106" s="32" t="str">
        <f>IF(AND(AG106="CUMPLE",AI106="CUMPLE",AK106="CUMPLE",AM106="CUMPLE",AD106="CUMPLE"),"CUMPLE","NO CUMPLE")</f>
        <v>CUMPLE</v>
      </c>
      <c r="AO106" s="35">
        <f>IF(U107="","",+Z106/Y106)</f>
        <v>0.79267621152533552</v>
      </c>
      <c r="AP106" s="36" t="str">
        <f>IF(OR(AO106="",AO106&lt;$AP$13),"NO CUMPLE","CUMPLE")</f>
        <v>CUMPLE</v>
      </c>
      <c r="AQ106" s="35">
        <f>IF(U107="","",+Z106/V106)</f>
        <v>0.64490779709139023</v>
      </c>
      <c r="AR106" s="36" t="str">
        <f>IF(OR(AQ106="",AQ106&lt;$AR$13),"NO CUMPLE","CUMPLE")</f>
        <v>CUMPLE</v>
      </c>
      <c r="AS106" s="36" t="str">
        <f>IF(U107="","",IF(AND(AP106="CUMPLE",AR106="CUMPLE"),"CUMPLE","NO CUMPLE"))</f>
        <v>CUMPLE</v>
      </c>
      <c r="AT106" s="36" t="s">
        <v>58</v>
      </c>
      <c r="AU106" s="32" t="str">
        <f>IF(U107="","",IF(AND(O106="CUMPLE",AS106="CUMPLE",AN106="CUMPLE",T106="CUMPLE",AT106="CUMPLE"),"CUMPLE","NO CUMPLE"))</f>
        <v>CUMPLE</v>
      </c>
      <c r="AV106" s="37"/>
      <c r="AW106" s="37"/>
    </row>
    <row r="107" spans="4:49" x14ac:dyDescent="0.15">
      <c r="D107" s="38">
        <f>+D106+0.1</f>
        <v>26.1</v>
      </c>
      <c r="E107" s="39" t="s">
        <v>191</v>
      </c>
      <c r="F107" s="40">
        <v>830010109</v>
      </c>
      <c r="G107" s="41">
        <v>0.5</v>
      </c>
      <c r="H107" s="42"/>
      <c r="I107" s="42"/>
      <c r="J107" s="42"/>
      <c r="K107" s="42"/>
      <c r="L107" s="42"/>
      <c r="M107" s="66"/>
      <c r="N107" s="42"/>
      <c r="O107" s="42"/>
      <c r="P107" s="43">
        <v>46080</v>
      </c>
      <c r="Q107" s="43">
        <v>45743</v>
      </c>
      <c r="R107" s="38" t="str">
        <f>IF((NETWORKDAYS(Q107,P107)-1)&gt;=10,"CUMPLE","NO CUMPLE")</f>
        <v>CUMPLE</v>
      </c>
      <c r="S107" s="38" t="str">
        <f>IF(('[2]DATOS INICIALES'!$C$4-P107)&lt;30,"CUMPLE","NO CUMPLE")</f>
        <v>CUMPLE</v>
      </c>
      <c r="T107" s="38" t="str">
        <f t="shared" si="19"/>
        <v>CUMPLE</v>
      </c>
      <c r="U107" s="145">
        <v>5893479654</v>
      </c>
      <c r="V107" s="145">
        <v>5902352534</v>
      </c>
      <c r="W107" s="145">
        <v>281774166</v>
      </c>
      <c r="X107" s="145">
        <v>281774166</v>
      </c>
      <c r="Y107" s="145">
        <v>5620578368</v>
      </c>
      <c r="Z107" s="145">
        <v>1590767501</v>
      </c>
      <c r="AA107" s="145">
        <v>297101</v>
      </c>
      <c r="AB107" s="44">
        <f>+U107-W107</f>
        <v>5611705488</v>
      </c>
      <c r="AC107" s="48"/>
      <c r="AD107" s="47"/>
      <c r="AE107" s="67">
        <f>+U107-W107</f>
        <v>5611705488</v>
      </c>
      <c r="AF107" s="47"/>
      <c r="AG107" s="68"/>
      <c r="AH107" s="45"/>
      <c r="AI107" s="45"/>
      <c r="AJ107" s="45"/>
      <c r="AK107" s="45"/>
      <c r="AL107" s="45"/>
      <c r="AM107" s="45"/>
      <c r="AN107" s="46"/>
      <c r="AO107" s="47"/>
      <c r="AP107" s="47"/>
      <c r="AQ107" s="47"/>
      <c r="AR107" s="47"/>
      <c r="AS107" s="46"/>
      <c r="AT107" s="46"/>
      <c r="AU107" s="46"/>
      <c r="AV107" s="47"/>
      <c r="AW107" s="47"/>
    </row>
    <row r="108" spans="4:49" x14ac:dyDescent="0.15">
      <c r="D108" s="38">
        <f>+D107+0.1</f>
        <v>26.200000000000003</v>
      </c>
      <c r="E108" s="39" t="s">
        <v>192</v>
      </c>
      <c r="F108" s="40">
        <v>900854758</v>
      </c>
      <c r="G108" s="41">
        <v>0.5</v>
      </c>
      <c r="H108" s="42"/>
      <c r="I108" s="42"/>
      <c r="J108" s="42"/>
      <c r="K108" s="42"/>
      <c r="L108" s="42"/>
      <c r="M108" s="66"/>
      <c r="N108" s="42"/>
      <c r="O108" s="42"/>
      <c r="P108" s="43">
        <v>46069</v>
      </c>
      <c r="Q108" s="43">
        <v>45754</v>
      </c>
      <c r="R108" s="38" t="str">
        <f>IF((NETWORKDAYS(Q108,P108)-1)&gt;=10,"CUMPLE","NO CUMPLE")</f>
        <v>CUMPLE</v>
      </c>
      <c r="S108" s="38" t="str">
        <f>IF(('[2]DATOS INICIALES'!$C$4-P108)&lt;30,"CUMPLE","NO CUMPLE")</f>
        <v>CUMPLE</v>
      </c>
      <c r="T108" s="38" t="str">
        <f t="shared" si="19"/>
        <v>CUMPLE</v>
      </c>
      <c r="U108" s="145">
        <v>40361041071</v>
      </c>
      <c r="V108" s="145">
        <v>44998968810</v>
      </c>
      <c r="W108" s="145">
        <v>9207103434</v>
      </c>
      <c r="X108" s="145">
        <v>9207103434</v>
      </c>
      <c r="Y108" s="145">
        <v>35791865376</v>
      </c>
      <c r="Z108" s="145">
        <v>31235891516</v>
      </c>
      <c r="AA108" s="47">
        <v>0</v>
      </c>
      <c r="AB108" s="44">
        <f>+U108-W108</f>
        <v>31153937637</v>
      </c>
      <c r="AC108" s="48"/>
      <c r="AD108" s="47"/>
      <c r="AE108" s="67">
        <f>+U108-W108</f>
        <v>31153937637</v>
      </c>
      <c r="AF108" s="47"/>
      <c r="AG108" s="68"/>
      <c r="AH108" s="45"/>
      <c r="AI108" s="45"/>
      <c r="AJ108" s="45"/>
      <c r="AK108" s="45"/>
      <c r="AL108" s="45"/>
      <c r="AM108" s="45"/>
      <c r="AN108" s="46"/>
      <c r="AO108" s="47"/>
      <c r="AP108" s="47"/>
      <c r="AQ108" s="47"/>
      <c r="AR108" s="47"/>
      <c r="AS108" s="46"/>
      <c r="AT108" s="46"/>
      <c r="AU108" s="46"/>
      <c r="AV108" s="47"/>
      <c r="AW108" s="47"/>
    </row>
    <row r="109" spans="4:49" ht="15" x14ac:dyDescent="0.15">
      <c r="D109" s="62">
        <v>27</v>
      </c>
      <c r="E109" s="63" t="str">
        <f>IF(D109="","",VLOOKUP(D109,'[2]DATOS INICIALES'!$B$10:$D$69,2,0))</f>
        <v>CONSORCIO CONCESION ESTANQUILLO-POPAYAN</v>
      </c>
      <c r="F109" s="64">
        <f>IF(D109="","",VLOOKUP(D109,'[2]DATOS INICIALES'!$B$10:$D$69,3,0))</f>
        <v>0</v>
      </c>
      <c r="G109" s="65">
        <f>SUM(G110:G111)</f>
        <v>1</v>
      </c>
      <c r="H109" s="64"/>
      <c r="I109" s="30" t="s">
        <v>55</v>
      </c>
      <c r="J109" s="30" t="str">
        <f>IF(I109="SI","CUMPLE", "NO CUMPLE")</f>
        <v>CUMPLE</v>
      </c>
      <c r="K109" s="30" t="s">
        <v>55</v>
      </c>
      <c r="L109" s="30" t="str">
        <f>IF(K109="SI","CUMPLE", "NO CUMPLE")</f>
        <v>CUMPLE</v>
      </c>
      <c r="M109" s="51">
        <f>+IFERROR(VLOOKUP(D109,'[2]DATOS INICIALES'!$B$10:$G$100,6,0),0)</f>
        <v>69477143896</v>
      </c>
      <c r="N109" s="30" t="str">
        <f>IF(M109&lt;='[2]DATOS INICIALES'!$C$6,"CUMPLE","NO CUMPLE")</f>
        <v>CUMPLE</v>
      </c>
      <c r="O109" s="30" t="str">
        <f>IF(AND(J109="CUMPLE",L109="CUMPLE",N109="CUMPLE"),"CUMPLE","NO CUMPLE")</f>
        <v>CUMPLE</v>
      </c>
      <c r="P109" s="31"/>
      <c r="Q109" s="31"/>
      <c r="R109" s="32" t="str">
        <f>IF(AND(R110="CUMPLE",R111="CUMPLE"),"CUMPLE","NO CUMPLE")</f>
        <v>CUMPLE</v>
      </c>
      <c r="S109" s="32" t="str">
        <f>IF(AND(S110="CUMPLE",S111="CUMPLE"),"CUMPLE","NO CUMPLE")</f>
        <v>CUMPLE</v>
      </c>
      <c r="T109" s="32" t="str">
        <f t="shared" si="19"/>
        <v>CUMPLE</v>
      </c>
      <c r="U109" s="33">
        <f t="shared" ref="U109:AB109" si="28">+(U110*$G110)+(U111*$G111)</f>
        <v>14747968720.199999</v>
      </c>
      <c r="V109" s="33">
        <f t="shared" si="28"/>
        <v>17519734121.400002</v>
      </c>
      <c r="W109" s="33">
        <f t="shared" si="28"/>
        <v>2807702465.8000002</v>
      </c>
      <c r="X109" s="33">
        <f t="shared" si="28"/>
        <v>4268511451.5999994</v>
      </c>
      <c r="Y109" s="33">
        <f t="shared" si="28"/>
        <v>13251222669.800001</v>
      </c>
      <c r="Z109" s="33">
        <f t="shared" si="28"/>
        <v>2613978210.1999998</v>
      </c>
      <c r="AA109" s="33">
        <f t="shared" si="28"/>
        <v>223249138.19999999</v>
      </c>
      <c r="AB109" s="34">
        <f t="shared" si="28"/>
        <v>11940266254.4</v>
      </c>
      <c r="AC109" s="34"/>
      <c r="AD109" s="32" t="str">
        <f>IF(AB109&gt;=$AD$13,"CUMPLE","NO CUMPLE")</f>
        <v>CUMPLE</v>
      </c>
      <c r="AE109" s="75">
        <f>+MAX(AE110:AE111)</f>
        <v>18802386176</v>
      </c>
      <c r="AF109" s="32"/>
      <c r="AG109" s="32" t="str">
        <f>+IF(AE109&gt;=$AG$13,"CUMPLE","NO CUMPLE")</f>
        <v>CUMPLE</v>
      </c>
      <c r="AH109" s="32">
        <f>IF(E109="","",(IF(W109=0,"INDETERMINADO",+U109/W109)))</f>
        <v>5.2526821840425502</v>
      </c>
      <c r="AI109" s="32" t="str">
        <f>IF(OR(AH109="",AH109&lt;$AI$13),"NO CUMPLE","CUMPLE")</f>
        <v>CUMPLE</v>
      </c>
      <c r="AJ109" s="32">
        <f>IF(U110="","",+X109/V109)</f>
        <v>0.24364019579418725</v>
      </c>
      <c r="AK109" s="32" t="str">
        <f>IF(OR(AJ109="",AJ109&gt;$AK$13),"NO CUMPLE","CUMPLE")</f>
        <v>CUMPLE</v>
      </c>
      <c r="AL109" s="32">
        <f>IF(AA109=0,"INDET",(IF(U110="","",Z109/AA109)))</f>
        <v>11.708794180689026</v>
      </c>
      <c r="AM109" s="32" t="str">
        <f>IF(OR(AL109="",AL109&lt;$AM$13),"NO CUMPLE","CUMPLE")</f>
        <v>CUMPLE</v>
      </c>
      <c r="AN109" s="32" t="str">
        <f>IF(AND(AG109="CUMPLE",AI109="CUMPLE",AK109="CUMPLE",AM109="CUMPLE",AD109="CUMPLE"),"CUMPLE","NO CUMPLE")</f>
        <v>CUMPLE</v>
      </c>
      <c r="AO109" s="35">
        <f>IF(U110="","",+Z109/Y109)</f>
        <v>0.19726317150773923</v>
      </c>
      <c r="AP109" s="36" t="str">
        <f>IF(OR(AO109="",AO109&lt;$AP$13),"NO CUMPLE","CUMPLE")</f>
        <v>CUMPLE</v>
      </c>
      <c r="AQ109" s="35">
        <f>IF(U110="","",+Z109/V109)</f>
        <v>0.1492019337786113</v>
      </c>
      <c r="AR109" s="36" t="str">
        <f>IF(OR(AQ109="",AQ109&lt;$AR$13),"NO CUMPLE","CUMPLE")</f>
        <v>CUMPLE</v>
      </c>
      <c r="AS109" s="36" t="str">
        <f>IF(U110="","",IF(AND(AP109="CUMPLE",AR109="CUMPLE"),"CUMPLE","NO CUMPLE"))</f>
        <v>CUMPLE</v>
      </c>
      <c r="AT109" s="36" t="s">
        <v>58</v>
      </c>
      <c r="AU109" s="32" t="str">
        <f>IF(U110="","",IF(AND(O109="CUMPLE",AS109="CUMPLE",AN109="CUMPLE",T109="CUMPLE",AT109="CUMPLE"),"CUMPLE","NO CUMPLE"))</f>
        <v>CUMPLE</v>
      </c>
      <c r="AV109" s="37"/>
      <c r="AW109" s="37"/>
    </row>
    <row r="110" spans="4:49" x14ac:dyDescent="0.15">
      <c r="D110" s="38">
        <f>+D109+0.1</f>
        <v>27.1</v>
      </c>
      <c r="E110" s="39" t="s">
        <v>193</v>
      </c>
      <c r="F110" s="40">
        <v>890403012</v>
      </c>
      <c r="G110" s="41">
        <v>0.6</v>
      </c>
      <c r="H110" s="42"/>
      <c r="I110" s="42"/>
      <c r="J110" s="42"/>
      <c r="K110" s="42"/>
      <c r="L110" s="42"/>
      <c r="M110" s="66"/>
      <c r="N110" s="42"/>
      <c r="O110" s="42"/>
      <c r="P110" s="43">
        <v>46080</v>
      </c>
      <c r="Q110" s="43">
        <v>45749</v>
      </c>
      <c r="R110" s="38" t="str">
        <f>IF((NETWORKDAYS(Q110,P110)-1)&gt;=10,"CUMPLE","NO CUMPLE")</f>
        <v>CUMPLE</v>
      </c>
      <c r="S110" s="38" t="str">
        <f>IF(('[2]DATOS INICIALES'!$C$4-P110)&lt;30,"CUMPLE","NO CUMPLE")</f>
        <v>CUMPLE</v>
      </c>
      <c r="T110" s="38" t="str">
        <f t="shared" si="19"/>
        <v>CUMPLE</v>
      </c>
      <c r="U110" s="145">
        <v>22938328817</v>
      </c>
      <c r="V110" s="145">
        <v>27546852435</v>
      </c>
      <c r="W110" s="145">
        <v>4135942641</v>
      </c>
      <c r="X110" s="145">
        <v>6570624284</v>
      </c>
      <c r="Y110" s="145">
        <v>20976228151</v>
      </c>
      <c r="Z110" s="145">
        <v>3952061345</v>
      </c>
      <c r="AA110" s="145">
        <v>372081897</v>
      </c>
      <c r="AB110" s="44">
        <f>+U110-W110</f>
        <v>18802386176</v>
      </c>
      <c r="AC110" s="48"/>
      <c r="AD110" s="47"/>
      <c r="AE110" s="67">
        <f>+U110-W110</f>
        <v>18802386176</v>
      </c>
      <c r="AF110" s="47"/>
      <c r="AG110" s="68"/>
      <c r="AH110" s="45"/>
      <c r="AI110" s="45"/>
      <c r="AJ110" s="45"/>
      <c r="AK110" s="45"/>
      <c r="AL110" s="45"/>
      <c r="AM110" s="45"/>
      <c r="AN110" s="46"/>
      <c r="AO110" s="47"/>
      <c r="AP110" s="47"/>
      <c r="AQ110" s="47"/>
      <c r="AR110" s="47"/>
      <c r="AS110" s="46"/>
      <c r="AT110" s="46"/>
      <c r="AU110" s="46"/>
      <c r="AV110" s="47"/>
      <c r="AW110" s="47"/>
    </row>
    <row r="111" spans="4:49" x14ac:dyDescent="0.15">
      <c r="D111" s="38">
        <f>+D110+0.1</f>
        <v>27.200000000000003</v>
      </c>
      <c r="E111" s="39" t="s">
        <v>194</v>
      </c>
      <c r="F111" s="40">
        <v>901402264</v>
      </c>
      <c r="G111" s="41">
        <v>0.4</v>
      </c>
      <c r="H111" s="42"/>
      <c r="I111" s="42"/>
      <c r="J111" s="42"/>
      <c r="K111" s="42"/>
      <c r="L111" s="42"/>
      <c r="M111" s="66"/>
      <c r="N111" s="42"/>
      <c r="O111" s="42"/>
      <c r="P111" s="43">
        <v>46080</v>
      </c>
      <c r="Q111" s="43">
        <v>45734</v>
      </c>
      <c r="R111" s="38" t="str">
        <f>IF((NETWORKDAYS(Q111,P111)-1)&gt;=10,"CUMPLE","NO CUMPLE")</f>
        <v>CUMPLE</v>
      </c>
      <c r="S111" s="38" t="str">
        <f>IF(('[2]DATOS INICIALES'!$C$4-P111)&lt;30,"CUMPLE","NO CUMPLE")</f>
        <v>CUMPLE</v>
      </c>
      <c r="T111" s="38" t="str">
        <f t="shared" si="19"/>
        <v>CUMPLE</v>
      </c>
      <c r="U111" s="145">
        <v>2462428575</v>
      </c>
      <c r="V111" s="145">
        <v>2479056651</v>
      </c>
      <c r="W111" s="145">
        <v>815342203</v>
      </c>
      <c r="X111" s="145">
        <v>815342203</v>
      </c>
      <c r="Y111" s="145">
        <v>1663714448</v>
      </c>
      <c r="Z111" s="145">
        <v>606853508</v>
      </c>
      <c r="AA111" s="47">
        <v>0</v>
      </c>
      <c r="AB111" s="44">
        <f>+U111-W111</f>
        <v>1647086372</v>
      </c>
      <c r="AC111" s="48"/>
      <c r="AD111" s="47"/>
      <c r="AE111" s="67">
        <f>+U111-W111</f>
        <v>1647086372</v>
      </c>
      <c r="AF111" s="47"/>
      <c r="AG111" s="68"/>
      <c r="AH111" s="45"/>
      <c r="AI111" s="45"/>
      <c r="AJ111" s="45"/>
      <c r="AK111" s="45"/>
      <c r="AL111" s="45"/>
      <c r="AM111" s="45"/>
      <c r="AN111" s="46"/>
      <c r="AO111" s="47"/>
      <c r="AP111" s="47"/>
      <c r="AQ111" s="47"/>
      <c r="AR111" s="47"/>
      <c r="AS111" s="46"/>
      <c r="AT111" s="46"/>
      <c r="AU111" s="46"/>
      <c r="AV111" s="47"/>
      <c r="AW111" s="47"/>
    </row>
    <row r="112" spans="4:49" ht="120" x14ac:dyDescent="0.15">
      <c r="D112" s="62">
        <v>28</v>
      </c>
      <c r="E112" s="63" t="str">
        <f>IF(D112="","",VLOOKUP(D112,'[2]DATOS INICIALES'!$B$10:$D$69,2,0))</f>
        <v>CONSORCIO CORREDOR EP 2026</v>
      </c>
      <c r="F112" s="64">
        <f>IF(D112="","",VLOOKUP(D112,'[2]DATOS INICIALES'!$B$10:$D$69,3,0))</f>
        <v>0</v>
      </c>
      <c r="G112" s="65">
        <f>SUM(G113:G115)</f>
        <v>1</v>
      </c>
      <c r="H112" s="64"/>
      <c r="I112" s="30" t="s">
        <v>55</v>
      </c>
      <c r="J112" s="30" t="str">
        <f>IF(I112="SI","CUMPLE", "NO CUMPLE")</f>
        <v>CUMPLE</v>
      </c>
      <c r="K112" s="30" t="s">
        <v>55</v>
      </c>
      <c r="L112" s="30" t="str">
        <f>IF(K112="SI","CUMPLE", "NO CUMPLE")</f>
        <v>CUMPLE</v>
      </c>
      <c r="M112" s="51">
        <f>+IFERROR(VLOOKUP(D112,'[2]DATOS INICIALES'!$B$10:$G$100,6,0),0)</f>
        <v>69477143896</v>
      </c>
      <c r="N112" s="30" t="str">
        <f>IF(M112&lt;='[2]DATOS INICIALES'!$C$6,"CUMPLE","NO CUMPLE")</f>
        <v>CUMPLE</v>
      </c>
      <c r="O112" s="30" t="str">
        <f>IF(AND(J112="CUMPLE",L112="CUMPLE",N112="CUMPLE"),"CUMPLE","NO CUMPLE")</f>
        <v>CUMPLE</v>
      </c>
      <c r="P112" s="31"/>
      <c r="Q112" s="31"/>
      <c r="R112" s="32" t="str">
        <f>IF(AND(R113="CUMPLE",R114="CUMPLE",R115="CUMPLE"),"CUMPLE","NO CUMPLE")</f>
        <v>CUMPLE</v>
      </c>
      <c r="S112" s="32" t="str">
        <f>IF(AND(S113="CUMPLE",S114="CUMPLE",S115="CUMPLE"),"CUMPLE","NO CUMPLE")</f>
        <v>CUMPLE</v>
      </c>
      <c r="T112" s="32" t="str">
        <f t="shared" si="19"/>
        <v>CUMPLE</v>
      </c>
      <c r="U112" s="33">
        <f t="shared" ref="U112:AA112" si="29">+(U113*$G113)+(U114*$G114)+(U115*$G115)</f>
        <v>9283786811.5</v>
      </c>
      <c r="V112" s="33">
        <f t="shared" si="29"/>
        <v>16378587697.900002</v>
      </c>
      <c r="W112" s="33">
        <f t="shared" si="29"/>
        <v>3715195286.4000001</v>
      </c>
      <c r="X112" s="33">
        <f t="shared" si="29"/>
        <v>7498377154.3000002</v>
      </c>
      <c r="Y112" s="33">
        <f t="shared" si="29"/>
        <v>8880210543.2000008</v>
      </c>
      <c r="Z112" s="33">
        <f t="shared" si="29"/>
        <v>1457184190.1000001</v>
      </c>
      <c r="AA112" s="33">
        <f t="shared" si="29"/>
        <v>197640555.53000003</v>
      </c>
      <c r="AB112" s="34">
        <f>+(AB113*$G113)+(AB114*$G114)+(AB115*$G115)</f>
        <v>5568591525.1000004</v>
      </c>
      <c r="AC112" s="34"/>
      <c r="AD112" s="32" t="str">
        <f>IF(AB112&gt;=$AD$13,"CUMPLE","NO CUMPLE")</f>
        <v>NO CUMPLE</v>
      </c>
      <c r="AE112" s="75">
        <f>+MAX(AE113:AE115)</f>
        <v>9407342557</v>
      </c>
      <c r="AF112" s="32"/>
      <c r="AG112" s="32" t="str">
        <f>+IF(AE112&gt;=$AG$13,"CUMPLE","NO CUMPLE")</f>
        <v>CUMPLE</v>
      </c>
      <c r="AH112" s="32">
        <f>IF(E112="","",(IF(W112=0,"INDETERMINADO",+U112/W112)))</f>
        <v>2.4988691295675949</v>
      </c>
      <c r="AI112" s="32" t="str">
        <f>IF(OR(AH112="",AH112&lt;$AI$13),"NO CUMPLE","CUMPLE")</f>
        <v>CUMPLE</v>
      </c>
      <c r="AJ112" s="32">
        <f>IF(U113="","",+X112/V112)</f>
        <v>0.45781585644661005</v>
      </c>
      <c r="AK112" s="32" t="str">
        <f>IF(OR(AJ112="",AJ112&gt;$AK$13),"NO CUMPLE","CUMPLE")</f>
        <v>CUMPLE</v>
      </c>
      <c r="AL112" s="32">
        <f>IF(AA112=0,"INDET",(IF(U113="","",Z112/AA112)))</f>
        <v>7.3729006994154744</v>
      </c>
      <c r="AM112" s="32" t="str">
        <f>IF(OR(AL112="",AL112&lt;$AM$13),"NO CUMPLE","CUMPLE")</f>
        <v>CUMPLE</v>
      </c>
      <c r="AN112" s="32" t="str">
        <f>IF(AND(AG112="CUMPLE",AI112="CUMPLE",AK112="CUMPLE",AM112="CUMPLE",AD112="CUMPLE"),"CUMPLE","NO CUMPLE")</f>
        <v>NO CUMPLE</v>
      </c>
      <c r="AO112" s="35">
        <f>IF(U113="","",+Z112/Y112)</f>
        <v>0.16409342807934157</v>
      </c>
      <c r="AP112" s="36" t="str">
        <f>IF(OR(AO112="",AO112&lt;$AP$13),"NO CUMPLE","CUMPLE")</f>
        <v>CUMPLE</v>
      </c>
      <c r="AQ112" s="35">
        <f>IF(U113="","",+Z112/V112)</f>
        <v>8.8968854761930088E-2</v>
      </c>
      <c r="AR112" s="36" t="str">
        <f>IF(OR(AQ112="",AQ112&lt;$AR$13),"NO CUMPLE","CUMPLE")</f>
        <v>CUMPLE</v>
      </c>
      <c r="AS112" s="36" t="str">
        <f>IF(U113="","",IF(AND(AP112="CUMPLE",AR112="CUMPLE"),"CUMPLE","NO CUMPLE"))</f>
        <v>CUMPLE</v>
      </c>
      <c r="AT112" s="36" t="s">
        <v>195</v>
      </c>
      <c r="AU112" s="32" t="str">
        <f>IF(U113="","",IF(AND(O112="CUMPLE",AS112="CUMPLE",AN112="CUMPLE",T112="CUMPLE",AT112="CUMPLE"),"CUMPLE","NO CUMPLE"))</f>
        <v>NO CUMPLE</v>
      </c>
      <c r="AV112" s="147" t="s">
        <v>196</v>
      </c>
      <c r="AW112" s="37"/>
    </row>
    <row r="113" spans="4:49" x14ac:dyDescent="0.15">
      <c r="D113" s="38">
        <f>+D112+0.1</f>
        <v>28.1</v>
      </c>
      <c r="E113" s="39" t="s">
        <v>197</v>
      </c>
      <c r="F113" s="40">
        <v>901396141</v>
      </c>
      <c r="G113" s="41">
        <v>0.3</v>
      </c>
      <c r="H113" s="42"/>
      <c r="I113" s="42"/>
      <c r="J113" s="42"/>
      <c r="K113" s="42"/>
      <c r="L113" s="42"/>
      <c r="M113" s="66"/>
      <c r="N113" s="42"/>
      <c r="O113" s="42"/>
      <c r="P113" s="43">
        <v>46069</v>
      </c>
      <c r="Q113" s="43">
        <v>45777</v>
      </c>
      <c r="R113" s="38" t="str">
        <f>IF((NETWORKDAYS(Q113,P113)-1)&gt;=10,"CUMPLE","NO CUMPLE")</f>
        <v>CUMPLE</v>
      </c>
      <c r="S113" s="38" t="str">
        <f>IF(('[2]DATOS INICIALES'!$C$4-P113)&lt;30,"CUMPLE","NO CUMPLE")</f>
        <v>CUMPLE</v>
      </c>
      <c r="T113" s="38" t="str">
        <f t="shared" si="19"/>
        <v>CUMPLE</v>
      </c>
      <c r="U113" s="145">
        <v>3300638535</v>
      </c>
      <c r="V113" s="145">
        <v>3460774947</v>
      </c>
      <c r="W113" s="145">
        <v>1966220057</v>
      </c>
      <c r="X113" s="145">
        <v>1966220057</v>
      </c>
      <c r="Y113" s="145">
        <v>1494554890</v>
      </c>
      <c r="Z113" s="145">
        <v>248041010</v>
      </c>
      <c r="AA113" s="145">
        <v>679800</v>
      </c>
      <c r="AB113" s="44">
        <f>+U113-W113</f>
        <v>1334418478</v>
      </c>
      <c r="AC113" s="48"/>
      <c r="AD113" s="47"/>
      <c r="AE113" s="67">
        <f>+U113-W113</f>
        <v>1334418478</v>
      </c>
      <c r="AF113" s="47"/>
      <c r="AG113" s="68"/>
      <c r="AH113" s="45"/>
      <c r="AI113" s="45"/>
      <c r="AJ113" s="45"/>
      <c r="AK113" s="45"/>
      <c r="AL113" s="45"/>
      <c r="AM113" s="45"/>
      <c r="AN113" s="46"/>
      <c r="AO113" s="47"/>
      <c r="AP113" s="47"/>
      <c r="AQ113" s="47"/>
      <c r="AR113" s="47"/>
      <c r="AS113" s="46"/>
      <c r="AT113" s="46"/>
      <c r="AU113" s="46"/>
      <c r="AV113" s="47"/>
      <c r="AW113" s="47"/>
    </row>
    <row r="114" spans="4:49" x14ac:dyDescent="0.15">
      <c r="D114" s="38">
        <f>+D113+0.1</f>
        <v>28.200000000000003</v>
      </c>
      <c r="E114" s="39" t="s">
        <v>198</v>
      </c>
      <c r="F114" s="40">
        <v>900516298</v>
      </c>
      <c r="G114" s="41">
        <v>0.4</v>
      </c>
      <c r="H114" s="42"/>
      <c r="I114" s="42"/>
      <c r="J114" s="42"/>
      <c r="K114" s="42"/>
      <c r="L114" s="42"/>
      <c r="M114" s="66"/>
      <c r="N114" s="42"/>
      <c r="O114" s="42"/>
      <c r="P114" s="43">
        <v>46078</v>
      </c>
      <c r="Q114" s="43">
        <v>45779</v>
      </c>
      <c r="R114" s="38" t="str">
        <f>IF((NETWORKDAYS(Q114,P114)-1)&gt;=10,"CUMPLE","NO CUMPLE")</f>
        <v>CUMPLE</v>
      </c>
      <c r="S114" s="38" t="str">
        <f>IF(('[2]DATOS INICIALES'!$C$4-P114)&lt;30,"CUMPLE","NO CUMPLE")</f>
        <v>CUMPLE</v>
      </c>
      <c r="T114" s="38" t="str">
        <f t="shared" si="19"/>
        <v>CUMPLE</v>
      </c>
      <c r="U114" s="145">
        <v>16602773713</v>
      </c>
      <c r="V114" s="145">
        <v>34131345601</v>
      </c>
      <c r="W114" s="145">
        <v>7195431156</v>
      </c>
      <c r="X114" s="145">
        <v>15325805260</v>
      </c>
      <c r="Y114" s="145">
        <v>18805540340</v>
      </c>
      <c r="Z114" s="145">
        <v>3235264628</v>
      </c>
      <c r="AA114" s="145">
        <v>484106573</v>
      </c>
      <c r="AB114" s="44">
        <f>+U114-W114</f>
        <v>9407342557</v>
      </c>
      <c r="AC114" s="48"/>
      <c r="AD114" s="47"/>
      <c r="AE114" s="67">
        <f>+U114-W114</f>
        <v>9407342557</v>
      </c>
      <c r="AF114" s="47"/>
      <c r="AG114" s="68"/>
      <c r="AH114" s="45"/>
      <c r="AI114" s="45"/>
      <c r="AJ114" s="45"/>
      <c r="AK114" s="45"/>
      <c r="AL114" s="45"/>
      <c r="AM114" s="45"/>
      <c r="AN114" s="46"/>
      <c r="AO114" s="47"/>
      <c r="AP114" s="47"/>
      <c r="AQ114" s="47"/>
      <c r="AR114" s="47"/>
      <c r="AS114" s="46"/>
      <c r="AT114" s="46"/>
      <c r="AU114" s="46"/>
      <c r="AV114" s="47"/>
      <c r="AW114" s="47"/>
    </row>
    <row r="115" spans="4:49" x14ac:dyDescent="0.15">
      <c r="D115" s="38">
        <f>+D114+0.1</f>
        <v>28.300000000000004</v>
      </c>
      <c r="E115" s="39" t="s">
        <v>199</v>
      </c>
      <c r="F115" s="40">
        <v>900644351</v>
      </c>
      <c r="G115" s="41">
        <v>0.3</v>
      </c>
      <c r="H115" s="42"/>
      <c r="I115" s="42"/>
      <c r="J115" s="42"/>
      <c r="K115" s="42"/>
      <c r="L115" s="42"/>
      <c r="M115" s="66"/>
      <c r="N115" s="42"/>
      <c r="O115" s="42"/>
      <c r="P115" s="43">
        <v>46069</v>
      </c>
      <c r="Q115" s="43">
        <v>45771</v>
      </c>
      <c r="R115" s="38" t="str">
        <f>IF((NETWORKDAYS(Q115,P115)-1)&gt;=10,"CUMPLE","NO CUMPLE")</f>
        <v>CUMPLE</v>
      </c>
      <c r="S115" s="38" t="str">
        <f>IF(('[2]DATOS INICIALES'!$C$4-P115)&lt;30,"CUMPLE","NO CUMPLE")</f>
        <v>CUMPLE</v>
      </c>
      <c r="T115" s="38" t="str">
        <f t="shared" si="19"/>
        <v>CUMPLE</v>
      </c>
      <c r="U115" s="145">
        <v>5508285886</v>
      </c>
      <c r="V115" s="145">
        <v>5626056578</v>
      </c>
      <c r="W115" s="145">
        <v>823856023</v>
      </c>
      <c r="X115" s="145">
        <v>2593963444</v>
      </c>
      <c r="Y115" s="145">
        <v>3032093134</v>
      </c>
      <c r="Z115" s="145">
        <v>295553453</v>
      </c>
      <c r="AA115" s="145">
        <v>12646621.1</v>
      </c>
      <c r="AB115" s="44">
        <f>+U115-W115</f>
        <v>4684429863</v>
      </c>
      <c r="AC115" s="48"/>
      <c r="AD115" s="47"/>
      <c r="AE115" s="67">
        <f>+U115-W115</f>
        <v>4684429863</v>
      </c>
      <c r="AF115" s="47"/>
      <c r="AG115" s="68"/>
      <c r="AH115" s="45"/>
      <c r="AI115" s="45"/>
      <c r="AJ115" s="45"/>
      <c r="AK115" s="45"/>
      <c r="AL115" s="45"/>
      <c r="AM115" s="45"/>
      <c r="AN115" s="46"/>
      <c r="AO115" s="47"/>
      <c r="AP115" s="47"/>
      <c r="AQ115" s="47"/>
      <c r="AR115" s="47"/>
      <c r="AS115" s="46"/>
      <c r="AT115" s="46"/>
      <c r="AU115" s="46"/>
      <c r="AV115" s="47"/>
      <c r="AW115" s="47"/>
    </row>
    <row r="116" spans="4:49" ht="15" x14ac:dyDescent="0.15">
      <c r="D116" s="62">
        <v>29</v>
      </c>
      <c r="E116" s="63" t="str">
        <f>IF(D116="","",VLOOKUP(D116,'[2]DATOS INICIALES'!$B$10:$D$69,2,0))</f>
        <v>C. DEL SUR SEG - SAITEC - INCOPLAN**</v>
      </c>
      <c r="F116" s="64">
        <f>IF(D116="","",VLOOKUP(D116,'[2]DATOS INICIALES'!$B$10:$D$69,3,0))</f>
        <v>0</v>
      </c>
      <c r="G116" s="65">
        <f>SUM(G117:G119)</f>
        <v>1</v>
      </c>
      <c r="H116" s="64"/>
      <c r="I116" s="30" t="s">
        <v>55</v>
      </c>
      <c r="J116" s="30" t="str">
        <f>IF(I116="SI","CUMPLE", "NO CUMPLE")</f>
        <v>CUMPLE</v>
      </c>
      <c r="K116" s="30" t="s">
        <v>55</v>
      </c>
      <c r="L116" s="30" t="str">
        <f>IF(K116="SI","CUMPLE", "NO CUMPLE")</f>
        <v>CUMPLE</v>
      </c>
      <c r="M116" s="51">
        <f>+IFERROR(VLOOKUP(D116,'[2]DATOS INICIALES'!$B$10:$G$100,6,0),0)</f>
        <v>69477143896</v>
      </c>
      <c r="N116" s="30" t="str">
        <f>IF(M116&lt;='[2]DATOS INICIALES'!$C$6,"CUMPLE","NO CUMPLE")</f>
        <v>CUMPLE</v>
      </c>
      <c r="O116" s="30" t="str">
        <f>IF(AND(J116="CUMPLE",L116="CUMPLE",N116="CUMPLE"),"CUMPLE","NO CUMPLE")</f>
        <v>CUMPLE</v>
      </c>
      <c r="P116" s="31"/>
      <c r="Q116" s="31"/>
      <c r="R116" s="32" t="str">
        <f>IF(AND(R117="CUMPLE",R118="CUMPLE",R119="CUMPLE"),"CUMPLE","NO CUMPLE")</f>
        <v>CUMPLE</v>
      </c>
      <c r="S116" s="32" t="str">
        <f>IF(AND(S117="CUMPLE",S118="CUMPLE",S119="CUMPLE"),"CUMPLE","NO CUMPLE")</f>
        <v>CUMPLE</v>
      </c>
      <c r="T116" s="32" t="str">
        <f t="shared" si="19"/>
        <v>CUMPLE</v>
      </c>
      <c r="U116" s="33">
        <f t="shared" ref="U116:AB116" si="30">+(U117*$G117)+(U118*$G118)+(U119*$G119)</f>
        <v>36793113773.794998</v>
      </c>
      <c r="V116" s="33">
        <f t="shared" si="30"/>
        <v>61438448414.275009</v>
      </c>
      <c r="W116" s="33">
        <f t="shared" si="30"/>
        <v>14697002095.455002</v>
      </c>
      <c r="X116" s="33">
        <f t="shared" si="30"/>
        <v>16777973222.615002</v>
      </c>
      <c r="Y116" s="33">
        <f t="shared" si="30"/>
        <v>44660475191.660011</v>
      </c>
      <c r="Z116" s="33">
        <f t="shared" si="30"/>
        <v>4010076017.7750001</v>
      </c>
      <c r="AA116" s="33">
        <f t="shared" si="30"/>
        <v>140639444.94500002</v>
      </c>
      <c r="AB116" s="34">
        <f t="shared" si="30"/>
        <v>22096111678.34</v>
      </c>
      <c r="AC116" s="34"/>
      <c r="AD116" s="32" t="str">
        <f>IF(AB116&gt;=$AD$13,"CUMPLE","NO CUMPLE")</f>
        <v>CUMPLE</v>
      </c>
      <c r="AE116" s="75">
        <f>+MAX(AE117:AE119)</f>
        <v>45453756837</v>
      </c>
      <c r="AF116" s="32"/>
      <c r="AG116" s="32" t="str">
        <f>+IF(AE116&gt;=$AG$13,"CUMPLE","NO CUMPLE")</f>
        <v>CUMPLE</v>
      </c>
      <c r="AH116" s="32">
        <f>IF(E116="","",(IF(W116=0,"INDETERMINADO",+U116/W116)))</f>
        <v>2.5034434597497364</v>
      </c>
      <c r="AI116" s="32" t="str">
        <f>IF(OR(AH116="",AH116&lt;$AI$13),"NO CUMPLE","CUMPLE")</f>
        <v>CUMPLE</v>
      </c>
      <c r="AJ116" s="32">
        <f>IF(U117="","",+X116/V116)</f>
        <v>0.273085887675456</v>
      </c>
      <c r="AK116" s="32" t="str">
        <f>IF(OR(AJ116="",AJ116&gt;$AK$13),"NO CUMPLE","CUMPLE")</f>
        <v>CUMPLE</v>
      </c>
      <c r="AL116" s="32">
        <f>IF(AA116=0,"INDET",(IF(U117="","",Z116/AA116)))</f>
        <v>28.513167265010352</v>
      </c>
      <c r="AM116" s="32" t="str">
        <f>IF(OR(AL116="",AL116&lt;$AM$13),"NO CUMPLE","CUMPLE")</f>
        <v>CUMPLE</v>
      </c>
      <c r="AN116" s="32" t="str">
        <f>IF(AND(AG116="CUMPLE",AI116="CUMPLE",AK116="CUMPLE",AM116="CUMPLE",AD116="CUMPLE"),"CUMPLE","NO CUMPLE")</f>
        <v>CUMPLE</v>
      </c>
      <c r="AO116" s="35">
        <f>IF(U117="","",+Z116/Y116)</f>
        <v>8.9790267581475486E-2</v>
      </c>
      <c r="AP116" s="36" t="str">
        <f>IF(OR(AO116="",AO116&lt;$AP$13),"NO CUMPLE","CUMPLE")</f>
        <v>CUMPLE</v>
      </c>
      <c r="AQ116" s="35">
        <f>IF(U117="","",+Z116/V116)</f>
        <v>6.526981265437154E-2</v>
      </c>
      <c r="AR116" s="36" t="str">
        <f>IF(OR(AQ116="",AQ116&lt;$AR$13),"NO CUMPLE","CUMPLE")</f>
        <v>CUMPLE</v>
      </c>
      <c r="AS116" s="36" t="str">
        <f>IF(U117="","",IF(AND(AP116="CUMPLE",AR116="CUMPLE"),"CUMPLE","NO CUMPLE"))</f>
        <v>CUMPLE</v>
      </c>
      <c r="AT116" s="36" t="s">
        <v>58</v>
      </c>
      <c r="AU116" s="32" t="str">
        <f>IF(U117="","",IF(AND(O116="CUMPLE",AS116="CUMPLE",AN116="CUMPLE",T116="CUMPLE",AT116="CUMPLE"),"CUMPLE","NO CUMPLE"))</f>
        <v>CUMPLE</v>
      </c>
      <c r="AV116" s="37"/>
      <c r="AW116" s="37"/>
    </row>
    <row r="117" spans="4:49" x14ac:dyDescent="0.15">
      <c r="D117" s="38">
        <f>+D116+0.1</f>
        <v>29.1</v>
      </c>
      <c r="E117" s="39" t="s">
        <v>200</v>
      </c>
      <c r="F117" s="40">
        <v>800097991</v>
      </c>
      <c r="G117" s="41">
        <v>0.33</v>
      </c>
      <c r="H117" s="42"/>
      <c r="I117" s="42"/>
      <c r="J117" s="42"/>
      <c r="K117" s="42"/>
      <c r="L117" s="42"/>
      <c r="M117" s="66"/>
      <c r="N117" s="42"/>
      <c r="O117" s="42"/>
      <c r="P117" s="43">
        <v>46066</v>
      </c>
      <c r="Q117" s="43">
        <v>45743</v>
      </c>
      <c r="R117" s="38" t="str">
        <f>IF((NETWORKDAYS(Q117,P117)-1)&gt;=10,"CUMPLE","NO CUMPLE")</f>
        <v>CUMPLE</v>
      </c>
      <c r="S117" s="38" t="str">
        <f>IF(('[2]DATOS INICIALES'!$C$4-P117)&lt;30,"CUMPLE","NO CUMPLE")</f>
        <v>CUMPLE</v>
      </c>
      <c r="T117" s="38" t="str">
        <f t="shared" si="19"/>
        <v>CUMPLE</v>
      </c>
      <c r="U117" s="145">
        <v>23899346988</v>
      </c>
      <c r="V117" s="145">
        <v>26372390091</v>
      </c>
      <c r="W117" s="145">
        <v>5009333917</v>
      </c>
      <c r="X117" s="145">
        <v>5469012748</v>
      </c>
      <c r="Y117" s="145">
        <v>20903377343</v>
      </c>
      <c r="Z117" s="145">
        <v>4450310685</v>
      </c>
      <c r="AA117" s="145">
        <v>13223</v>
      </c>
      <c r="AB117" s="44">
        <f>+U117-W117</f>
        <v>18890013071</v>
      </c>
      <c r="AC117" s="48"/>
      <c r="AD117" s="47"/>
      <c r="AE117" s="67">
        <f>+U117-W117</f>
        <v>18890013071</v>
      </c>
      <c r="AF117" s="47"/>
      <c r="AG117" s="68"/>
      <c r="AH117" s="45"/>
      <c r="AI117" s="45"/>
      <c r="AJ117" s="45"/>
      <c r="AK117" s="45"/>
      <c r="AL117" s="45"/>
      <c r="AM117" s="45"/>
      <c r="AN117" s="46"/>
      <c r="AO117" s="47"/>
      <c r="AP117" s="47"/>
      <c r="AQ117" s="47"/>
      <c r="AR117" s="47"/>
      <c r="AS117" s="46"/>
      <c r="AT117" s="46"/>
      <c r="AU117" s="46"/>
      <c r="AV117" s="47"/>
      <c r="AW117" s="47"/>
    </row>
    <row r="118" spans="4:49" x14ac:dyDescent="0.15">
      <c r="D118" s="38">
        <f>+D117+0.1</f>
        <v>29.200000000000003</v>
      </c>
      <c r="E118" s="39" t="s">
        <v>201</v>
      </c>
      <c r="F118" s="40">
        <v>900663467</v>
      </c>
      <c r="G118" s="41">
        <v>0.33500000000000002</v>
      </c>
      <c r="H118" s="42"/>
      <c r="I118" s="42"/>
      <c r="J118" s="42"/>
      <c r="K118" s="42"/>
      <c r="L118" s="42"/>
      <c r="M118" s="66"/>
      <c r="N118" s="42"/>
      <c r="O118" s="42"/>
      <c r="P118" s="43">
        <v>46071</v>
      </c>
      <c r="Q118" s="43">
        <v>45741</v>
      </c>
      <c r="R118" s="38" t="str">
        <f>IF((NETWORKDAYS(Q118,P118)-1)&gt;=10,"CUMPLE","NO CUMPLE")</f>
        <v>CUMPLE</v>
      </c>
      <c r="S118" s="38" t="str">
        <f>IF(('[2]DATOS INICIALES'!$C$4-P118)&lt;30,"CUMPLE","NO CUMPLE")</f>
        <v>CUMPLE</v>
      </c>
      <c r="T118" s="38" t="str">
        <f t="shared" si="19"/>
        <v>CUMPLE</v>
      </c>
      <c r="U118" s="145">
        <v>79121411044</v>
      </c>
      <c r="V118" s="145">
        <v>147192245426</v>
      </c>
      <c r="W118" s="145">
        <v>33667654207</v>
      </c>
      <c r="X118" s="145">
        <v>39426690365</v>
      </c>
      <c r="Y118" s="145">
        <v>107765555061</v>
      </c>
      <c r="Z118" s="145">
        <v>7261968967</v>
      </c>
      <c r="AA118" s="145">
        <v>374426792</v>
      </c>
      <c r="AB118" s="44">
        <f>+U118-W118</f>
        <v>45453756837</v>
      </c>
      <c r="AC118" s="48"/>
      <c r="AD118" s="47"/>
      <c r="AE118" s="67">
        <f>+U118-W118</f>
        <v>45453756837</v>
      </c>
      <c r="AF118" s="47"/>
      <c r="AG118" s="68"/>
      <c r="AH118" s="45"/>
      <c r="AI118" s="45"/>
      <c r="AJ118" s="45"/>
      <c r="AK118" s="45"/>
      <c r="AL118" s="45"/>
      <c r="AM118" s="45"/>
      <c r="AN118" s="46"/>
      <c r="AO118" s="47"/>
      <c r="AP118" s="47"/>
      <c r="AQ118" s="47"/>
      <c r="AR118" s="47"/>
      <c r="AS118" s="46"/>
      <c r="AT118" s="46"/>
      <c r="AU118" s="46"/>
      <c r="AV118" s="47"/>
      <c r="AW118" s="47"/>
    </row>
    <row r="119" spans="4:49" x14ac:dyDescent="0.15">
      <c r="D119" s="38">
        <f>+D118+0.1</f>
        <v>29.300000000000004</v>
      </c>
      <c r="E119" s="39" t="s">
        <v>202</v>
      </c>
      <c r="F119" s="40">
        <v>900834413</v>
      </c>
      <c r="G119" s="41">
        <v>0.33500000000000002</v>
      </c>
      <c r="H119" s="42"/>
      <c r="I119" s="42"/>
      <c r="J119" s="42"/>
      <c r="K119" s="42"/>
      <c r="L119" s="42"/>
      <c r="M119" s="66"/>
      <c r="N119" s="42"/>
      <c r="O119" s="42"/>
      <c r="P119" s="43">
        <v>46078</v>
      </c>
      <c r="Q119" s="43">
        <v>45772</v>
      </c>
      <c r="R119" s="38" t="str">
        <f>IF((NETWORKDAYS(Q119,P119)-1)&gt;=10,"CUMPLE","NO CUMPLE")</f>
        <v>CUMPLE</v>
      </c>
      <c r="S119" s="38" t="str">
        <f>IF(('[2]DATOS INICIALES'!$C$4-P119)&lt;30,"CUMPLE","NO CUMPLE")</f>
        <v>CUMPLE</v>
      </c>
      <c r="T119" s="38" t="str">
        <f t="shared" si="19"/>
        <v>CUMPLE</v>
      </c>
      <c r="U119" s="145">
        <v>7166139009</v>
      </c>
      <c r="V119" s="145">
        <v>10227335721</v>
      </c>
      <c r="W119" s="145">
        <v>5269426100</v>
      </c>
      <c r="X119" s="145">
        <v>5269426100</v>
      </c>
      <c r="Y119" s="145">
        <v>4957909621</v>
      </c>
      <c r="Z119" s="145">
        <v>324519068</v>
      </c>
      <c r="AA119" s="145">
        <v>45379421</v>
      </c>
      <c r="AB119" s="44">
        <f>+U119-W119</f>
        <v>1896712909</v>
      </c>
      <c r="AC119" s="48"/>
      <c r="AD119" s="47"/>
      <c r="AE119" s="67">
        <f>+U119-W119</f>
        <v>1896712909</v>
      </c>
      <c r="AF119" s="47"/>
      <c r="AG119" s="68"/>
      <c r="AH119" s="45"/>
      <c r="AI119" s="45"/>
      <c r="AJ119" s="45"/>
      <c r="AK119" s="45"/>
      <c r="AL119" s="45"/>
      <c r="AM119" s="45"/>
      <c r="AN119" s="46"/>
      <c r="AO119" s="47"/>
      <c r="AP119" s="47"/>
      <c r="AQ119" s="47"/>
      <c r="AR119" s="47"/>
      <c r="AS119" s="46"/>
      <c r="AT119" s="46"/>
      <c r="AU119" s="46"/>
      <c r="AV119" s="47"/>
      <c r="AW119" s="47"/>
    </row>
    <row r="120" spans="4:49" ht="15" x14ac:dyDescent="0.15">
      <c r="D120" s="62">
        <v>30</v>
      </c>
      <c r="E120" s="63" t="str">
        <f>IF(D120="","",VLOOKUP(D120,'[2]DATOS INICIALES'!$B$10:$D$69,2,0))</f>
        <v>CONSORCIO CONEXIÓN POPAYÁN</v>
      </c>
      <c r="F120" s="64">
        <f>IF(D120="","",VLOOKUP(D120,'[2]DATOS INICIALES'!$B$10:$D$69,3,0))</f>
        <v>0</v>
      </c>
      <c r="G120" s="65">
        <f>SUM(G121:G123)</f>
        <v>1</v>
      </c>
      <c r="H120" s="64"/>
      <c r="I120" s="30" t="s">
        <v>55</v>
      </c>
      <c r="J120" s="30" t="str">
        <f>IF(I120="SI","CUMPLE", "NO CUMPLE")</f>
        <v>CUMPLE</v>
      </c>
      <c r="K120" s="30" t="s">
        <v>55</v>
      </c>
      <c r="L120" s="30" t="str">
        <f>IF(K120="SI","CUMPLE", "NO CUMPLE")</f>
        <v>CUMPLE</v>
      </c>
      <c r="M120" s="51">
        <f>+IFERROR(VLOOKUP(D120,'[2]DATOS INICIALES'!$B$10:$G$100,6,0),0)</f>
        <v>69477143896</v>
      </c>
      <c r="N120" s="30" t="str">
        <f>IF(M120&lt;='[2]DATOS INICIALES'!$C$6,"CUMPLE","NO CUMPLE")</f>
        <v>CUMPLE</v>
      </c>
      <c r="O120" s="30" t="str">
        <f>IF(AND(J120="CUMPLE",L120="CUMPLE",N120="CUMPLE"),"CUMPLE","NO CUMPLE")</f>
        <v>CUMPLE</v>
      </c>
      <c r="P120" s="31"/>
      <c r="Q120" s="31"/>
      <c r="R120" s="32" t="str">
        <f>IF(AND(R121="CUMPLE",R122="CUMPLE",R123="CUMPLE"),"CUMPLE","NO CUMPLE")</f>
        <v>CUMPLE</v>
      </c>
      <c r="S120" s="32" t="str">
        <f>IF(AND(S121="CUMPLE",S122="CUMPLE",S123="CUMPLE"),"CUMPLE","NO CUMPLE")</f>
        <v>CUMPLE</v>
      </c>
      <c r="T120" s="32" t="str">
        <f t="shared" si="19"/>
        <v>CUMPLE</v>
      </c>
      <c r="U120" s="33">
        <f t="shared" ref="U120:AB120" si="31">+(U121*$G121)+(U122*$G122)+(U123*$G123)</f>
        <v>7998906311</v>
      </c>
      <c r="V120" s="33">
        <f t="shared" si="31"/>
        <v>8376379502.2000008</v>
      </c>
      <c r="W120" s="33">
        <f t="shared" si="31"/>
        <v>2201069504.4000001</v>
      </c>
      <c r="X120" s="33">
        <f t="shared" si="31"/>
        <v>2576330259.5999999</v>
      </c>
      <c r="Y120" s="33">
        <f t="shared" si="31"/>
        <v>5800049242.6000004</v>
      </c>
      <c r="Z120" s="33">
        <f t="shared" si="31"/>
        <v>1452765112.2000003</v>
      </c>
      <c r="AA120" s="33">
        <f t="shared" si="31"/>
        <v>99316168.400000006</v>
      </c>
      <c r="AB120" s="34">
        <f t="shared" si="31"/>
        <v>5797836806.6000004</v>
      </c>
      <c r="AC120" s="34"/>
      <c r="AD120" s="32" t="str">
        <f>IF(AB120&gt;=$AD$13,"CUMPLE","NO CUMPLE")</f>
        <v>CUMPLE</v>
      </c>
      <c r="AE120" s="75">
        <f>+MAX(AE121:AE123)</f>
        <v>13315415690</v>
      </c>
      <c r="AF120" s="32"/>
      <c r="AG120" s="32" t="str">
        <f>+IF(AE120&gt;=$AG$13,"CUMPLE","NO CUMPLE")</f>
        <v>CUMPLE</v>
      </c>
      <c r="AH120" s="32">
        <f>IF(E120="","",(IF(W120=0,"INDETERMINADO",+U120/W120)))</f>
        <v>3.6340998296555198</v>
      </c>
      <c r="AI120" s="32" t="str">
        <f>IF(OR(AH120="",AH120&lt;$AI$13),"NO CUMPLE","CUMPLE")</f>
        <v>CUMPLE</v>
      </c>
      <c r="AJ120" s="32">
        <f>IF(U121="","",+X120/V120)</f>
        <v>0.30757086148297647</v>
      </c>
      <c r="AK120" s="32" t="str">
        <f>IF(OR(AJ120="",AJ120&gt;$AK$13),"NO CUMPLE","CUMPLE")</f>
        <v>CUMPLE</v>
      </c>
      <c r="AL120" s="32">
        <f>IF(AA120=0,"INDET",(IF(U121="","",Z120/AA120)))</f>
        <v>14.627679818948797</v>
      </c>
      <c r="AM120" s="32" t="str">
        <f>IF(OR(AL120="",AL120&lt;$AM$13),"NO CUMPLE","CUMPLE")</f>
        <v>CUMPLE</v>
      </c>
      <c r="AN120" s="32" t="str">
        <f>IF(AND(AG120="CUMPLE",AI120="CUMPLE",AK120="CUMPLE",AM120="CUMPLE",AD120="CUMPLE"),"CUMPLE","NO CUMPLE")</f>
        <v>CUMPLE</v>
      </c>
      <c r="AO120" s="35">
        <f>IF(U121="","",+Z120/Y120)</f>
        <v>0.25047461692734979</v>
      </c>
      <c r="AP120" s="36" t="str">
        <f>IF(OR(AO120="",AO120&lt;$AP$13),"NO CUMPLE","CUMPLE")</f>
        <v>CUMPLE</v>
      </c>
      <c r="AQ120" s="35">
        <f>IF(U121="","",+Z120/V120)</f>
        <v>0.17343592321938628</v>
      </c>
      <c r="AR120" s="36" t="str">
        <f>IF(OR(AQ120="",AQ120&lt;$AR$13),"NO CUMPLE","CUMPLE")</f>
        <v>CUMPLE</v>
      </c>
      <c r="AS120" s="36" t="str">
        <f>IF(U121="","",IF(AND(AP120="CUMPLE",AR120="CUMPLE"),"CUMPLE","NO CUMPLE"))</f>
        <v>CUMPLE</v>
      </c>
      <c r="AT120" s="36" t="s">
        <v>58</v>
      </c>
      <c r="AU120" s="32" t="str">
        <f>IF(U121="","",IF(AND(O120="CUMPLE",AS120="CUMPLE",AN120="CUMPLE",T120="CUMPLE",AT120="CUMPLE"),"CUMPLE","NO CUMPLE"))</f>
        <v>CUMPLE</v>
      </c>
      <c r="AV120" s="37"/>
      <c r="AW120" s="37"/>
    </row>
    <row r="121" spans="4:49" x14ac:dyDescent="0.15">
      <c r="D121" s="38">
        <f>+D120+0.1</f>
        <v>30.1</v>
      </c>
      <c r="E121" s="39" t="s">
        <v>203</v>
      </c>
      <c r="F121" s="40">
        <v>901577055</v>
      </c>
      <c r="G121" s="41">
        <v>0.3</v>
      </c>
      <c r="H121" s="42"/>
      <c r="I121" s="42"/>
      <c r="J121" s="42"/>
      <c r="K121" s="42"/>
      <c r="L121" s="42"/>
      <c r="M121" s="66"/>
      <c r="N121" s="42"/>
      <c r="O121" s="42"/>
      <c r="P121" s="43">
        <v>46080</v>
      </c>
      <c r="Q121" s="43">
        <v>45761</v>
      </c>
      <c r="R121" s="38" t="str">
        <f>IF((NETWORKDAYS(Q121,P121)-1)&gt;=10,"CUMPLE","NO CUMPLE")</f>
        <v>CUMPLE</v>
      </c>
      <c r="S121" s="38" t="str">
        <f>IF(('[2]DATOS INICIALES'!$C$4-P121)&lt;30,"CUMPLE","NO CUMPLE")</f>
        <v>CUMPLE</v>
      </c>
      <c r="T121" s="38" t="str">
        <f t="shared" si="19"/>
        <v>CUMPLE</v>
      </c>
      <c r="U121" s="145">
        <v>1326193574</v>
      </c>
      <c r="V121" s="145">
        <v>1544403542</v>
      </c>
      <c r="W121" s="145">
        <v>253958472</v>
      </c>
      <c r="X121" s="145">
        <v>418341224</v>
      </c>
      <c r="Y121" s="145">
        <v>1126062318</v>
      </c>
      <c r="Z121" s="145">
        <v>-16754942</v>
      </c>
      <c r="AA121" s="47">
        <v>0</v>
      </c>
      <c r="AB121" s="44">
        <f>+U121-W121</f>
        <v>1072235102</v>
      </c>
      <c r="AC121" s="48"/>
      <c r="AD121" s="47"/>
      <c r="AE121" s="67">
        <f>+U121-W121</f>
        <v>1072235102</v>
      </c>
      <c r="AF121" s="47"/>
      <c r="AG121" s="68"/>
      <c r="AH121" s="45"/>
      <c r="AI121" s="45"/>
      <c r="AJ121" s="45"/>
      <c r="AK121" s="45"/>
      <c r="AL121" s="45"/>
      <c r="AM121" s="45"/>
      <c r="AN121" s="46"/>
      <c r="AO121" s="47"/>
      <c r="AP121" s="47"/>
      <c r="AQ121" s="47"/>
      <c r="AR121" s="47"/>
      <c r="AS121" s="46"/>
      <c r="AT121" s="46"/>
      <c r="AU121" s="46"/>
      <c r="AV121" s="47"/>
      <c r="AW121" s="47"/>
    </row>
    <row r="122" spans="4:49" x14ac:dyDescent="0.15">
      <c r="D122" s="38">
        <f>+D121+0.1</f>
        <v>30.200000000000003</v>
      </c>
      <c r="E122" s="39" t="s">
        <v>204</v>
      </c>
      <c r="F122" s="40">
        <v>902011628</v>
      </c>
      <c r="G122" s="41">
        <v>0.3</v>
      </c>
      <c r="H122" s="42"/>
      <c r="I122" s="42"/>
      <c r="J122" s="42"/>
      <c r="K122" s="42"/>
      <c r="L122" s="42"/>
      <c r="M122" s="66"/>
      <c r="N122" s="42"/>
      <c r="O122" s="42"/>
      <c r="P122" s="43">
        <v>46080</v>
      </c>
      <c r="Q122" s="43">
        <v>45996</v>
      </c>
      <c r="R122" s="38" t="str">
        <f>IF((NETWORKDAYS(Q122,P122)-1)&gt;=10,"CUMPLE","NO CUMPLE")</f>
        <v>CUMPLE</v>
      </c>
      <c r="S122" s="38" t="str">
        <f>IF(('[2]DATOS INICIALES'!$C$4-P122)&lt;30,"CUMPLE","NO CUMPLE")</f>
        <v>CUMPLE</v>
      </c>
      <c r="T122" s="38" t="str">
        <f t="shared" si="19"/>
        <v>CUMPLE</v>
      </c>
      <c r="U122" s="145">
        <v>500000000</v>
      </c>
      <c r="V122" s="145">
        <v>500000000</v>
      </c>
      <c r="W122" s="47">
        <v>0</v>
      </c>
      <c r="X122" s="47">
        <v>0</v>
      </c>
      <c r="Y122" s="145">
        <v>500000000</v>
      </c>
      <c r="Z122" s="47">
        <v>0</v>
      </c>
      <c r="AA122" s="47">
        <v>0</v>
      </c>
      <c r="AB122" s="44">
        <f>+U122-W122</f>
        <v>500000000</v>
      </c>
      <c r="AC122" s="48"/>
      <c r="AD122" s="47"/>
      <c r="AE122" s="67">
        <f>+U122-W122</f>
        <v>500000000</v>
      </c>
      <c r="AF122" s="47"/>
      <c r="AG122" s="68"/>
      <c r="AH122" s="45"/>
      <c r="AI122" s="45"/>
      <c r="AJ122" s="45"/>
      <c r="AK122" s="45"/>
      <c r="AL122" s="45"/>
      <c r="AM122" s="45"/>
      <c r="AN122" s="46"/>
      <c r="AO122" s="47"/>
      <c r="AP122" s="47"/>
      <c r="AQ122" s="47"/>
      <c r="AR122" s="47"/>
      <c r="AS122" s="46"/>
      <c r="AT122" s="46"/>
      <c r="AU122" s="46"/>
      <c r="AV122" s="47"/>
      <c r="AW122" s="47"/>
    </row>
    <row r="123" spans="4:49" x14ac:dyDescent="0.15">
      <c r="D123" s="38">
        <f>+D122+0.1</f>
        <v>30.300000000000004</v>
      </c>
      <c r="E123" s="39" t="s">
        <v>205</v>
      </c>
      <c r="F123" s="40">
        <v>900915689</v>
      </c>
      <c r="G123" s="41">
        <v>0.4</v>
      </c>
      <c r="H123" s="42"/>
      <c r="I123" s="42"/>
      <c r="J123" s="42"/>
      <c r="K123" s="42"/>
      <c r="L123" s="42"/>
      <c r="M123" s="66"/>
      <c r="N123" s="42"/>
      <c r="O123" s="42"/>
      <c r="P123" s="43">
        <v>46071</v>
      </c>
      <c r="Q123" s="43">
        <v>45756</v>
      </c>
      <c r="R123" s="38" t="str">
        <f>IF((NETWORKDAYS(Q123,P123)-1)&gt;=10,"CUMPLE","NO CUMPLE")</f>
        <v>CUMPLE</v>
      </c>
      <c r="S123" s="38" t="str">
        <f>IF(('[2]DATOS INICIALES'!$C$4-P123)&lt;30,"CUMPLE","NO CUMPLE")</f>
        <v>CUMPLE</v>
      </c>
      <c r="T123" s="38" t="str">
        <f t="shared" si="19"/>
        <v>CUMPLE</v>
      </c>
      <c r="U123" s="145">
        <v>18627620597</v>
      </c>
      <c r="V123" s="145">
        <v>19407646099</v>
      </c>
      <c r="W123" s="145">
        <v>5312204907</v>
      </c>
      <c r="X123" s="145">
        <v>6127069731</v>
      </c>
      <c r="Y123" s="145">
        <v>13280576368</v>
      </c>
      <c r="Z123" s="145">
        <v>3644478987</v>
      </c>
      <c r="AA123" s="145">
        <v>248290421</v>
      </c>
      <c r="AB123" s="44">
        <f>+U123-W123</f>
        <v>13315415690</v>
      </c>
      <c r="AC123" s="48"/>
      <c r="AD123" s="47"/>
      <c r="AE123" s="67">
        <f>+U123-W123</f>
        <v>13315415690</v>
      </c>
      <c r="AF123" s="47"/>
      <c r="AG123" s="68"/>
      <c r="AH123" s="45"/>
      <c r="AI123" s="45"/>
      <c r="AJ123" s="45"/>
      <c r="AK123" s="45"/>
      <c r="AL123" s="45"/>
      <c r="AM123" s="45"/>
      <c r="AN123" s="46"/>
      <c r="AO123" s="47"/>
      <c r="AP123" s="47"/>
      <c r="AQ123" s="47"/>
      <c r="AR123" s="47"/>
      <c r="AS123" s="46"/>
      <c r="AT123" s="46"/>
      <c r="AU123" s="46"/>
      <c r="AV123" s="47"/>
      <c r="AW123" s="47"/>
    </row>
    <row r="124" spans="4:49" ht="15" x14ac:dyDescent="0.15">
      <c r="D124" s="62">
        <v>31</v>
      </c>
      <c r="E124" s="63" t="str">
        <f>IF(D124="","",VLOOKUP(D124,'[3]DATOS INICIALES'!$B$10:$D$69,2,0))</f>
        <v>CONSORCIO CORREDOR SUR</v>
      </c>
      <c r="F124" s="64">
        <f>IF(D124="","",VLOOKUP(D124,'[3]DATOS INICIALES'!$B$10:$D$69,3,0))</f>
        <v>0</v>
      </c>
      <c r="G124" s="65">
        <f>SUM(G125:G127)</f>
        <v>1</v>
      </c>
      <c r="H124" s="64"/>
      <c r="I124" s="30" t="s">
        <v>55</v>
      </c>
      <c r="J124" s="30" t="str">
        <f>IF(I124="SI","CUMPLE", "NO CUMPLE")</f>
        <v>CUMPLE</v>
      </c>
      <c r="K124" s="30" t="s">
        <v>55</v>
      </c>
      <c r="L124" s="30" t="str">
        <f>IF(K124="SI","CUMPLE", "NO CUMPLE")</f>
        <v>CUMPLE</v>
      </c>
      <c r="M124" s="51">
        <f>+IFERROR(VLOOKUP(D124,'[3]DATOS INICIALES'!$B$10:$G$100,6,0),0)</f>
        <v>69477143896</v>
      </c>
      <c r="N124" s="30" t="str">
        <f>IF(M124&lt;='[3]DATOS INICIALES'!$C$6,"CUMPLE","NO CUMPLE")</f>
        <v>CUMPLE</v>
      </c>
      <c r="O124" s="30" t="str">
        <f>IF(AND(J124="CUMPLE",L124="CUMPLE",N124="CUMPLE"),"CUMPLE","NO CUMPLE")</f>
        <v>CUMPLE</v>
      </c>
      <c r="P124" s="31"/>
      <c r="Q124" s="31"/>
      <c r="R124" s="32" t="str">
        <f>IF(AND(R125="CUMPLE",R126="CUMPLE",R127="CUMPLE"),"CUMPLE","NO CUMPLE")</f>
        <v>CUMPLE</v>
      </c>
      <c r="S124" s="32" t="str">
        <f>IF(AND(S125="CUMPLE",S126="CUMPLE",S127="CUMPLE"),"CUMPLE","NO CUMPLE")</f>
        <v>CUMPLE</v>
      </c>
      <c r="T124" s="32" t="str">
        <f t="shared" si="19"/>
        <v>CUMPLE</v>
      </c>
      <c r="U124" s="33">
        <f t="shared" ref="U124:AB124" si="32">+(U125*$G125)+(U126*$G126)+(U127*$G127)</f>
        <v>11579983515.800001</v>
      </c>
      <c r="V124" s="33">
        <f t="shared" si="32"/>
        <v>12571870704.900002</v>
      </c>
      <c r="W124" s="33">
        <f t="shared" si="32"/>
        <v>5138709552.3999996</v>
      </c>
      <c r="X124" s="33">
        <f t="shared" si="32"/>
        <v>6535037580.4000006</v>
      </c>
      <c r="Y124" s="33">
        <f t="shared" si="32"/>
        <v>6036833124.5</v>
      </c>
      <c r="Z124" s="33">
        <f t="shared" si="32"/>
        <v>471601557.30000001</v>
      </c>
      <c r="AA124" s="33">
        <f t="shared" si="32"/>
        <v>183378654.40000001</v>
      </c>
      <c r="AB124" s="34">
        <f t="shared" si="32"/>
        <v>6441273963.3999996</v>
      </c>
      <c r="AC124" s="34"/>
      <c r="AD124" s="32" t="str">
        <f>IF(AB124&gt;=$AD$13,"CUMPLE","NO CUMPLE")</f>
        <v>CUMPLE</v>
      </c>
      <c r="AE124" s="75">
        <f>+MAX(AE125:AE127)</f>
        <v>10840620685</v>
      </c>
      <c r="AF124" s="32"/>
      <c r="AG124" s="32" t="str">
        <f>+IF(AE124&gt;=$AG$13,"CUMPLE","NO CUMPLE")</f>
        <v>CUMPLE</v>
      </c>
      <c r="AH124" s="32">
        <f>IF(E124="","",(IF(W124=0,"INDETERMINADO",+U124/W124)))</f>
        <v>2.2534808394437564</v>
      </c>
      <c r="AI124" s="32" t="str">
        <f>IF(OR(AH124="",AH124&lt;$AI$13),"NO CUMPLE","CUMPLE")</f>
        <v>CUMPLE</v>
      </c>
      <c r="AJ124" s="32">
        <f>IF(U125="","",+X124/V124)</f>
        <v>0.5198142530890737</v>
      </c>
      <c r="AK124" s="32" t="str">
        <f>IF(OR(AJ124="",AJ124&gt;$AK$13),"NO CUMPLE","CUMPLE")</f>
        <v>CUMPLE</v>
      </c>
      <c r="AL124" s="32">
        <f>IF(AA124=0,"INDET",(IF(U125="","",Z124/AA124)))</f>
        <v>2.5717363825306814</v>
      </c>
      <c r="AM124" s="32" t="str">
        <f>IF(OR(AL124="",AL124&lt;$AM$13),"NO CUMPLE","CUMPLE")</f>
        <v>CUMPLE</v>
      </c>
      <c r="AN124" s="32" t="str">
        <f>IF(AND(AG124="CUMPLE",AI124="CUMPLE",AK124="CUMPLE",AM124="CUMPLE",AD124="CUMPLE"),"CUMPLE","NO CUMPLE")</f>
        <v>CUMPLE</v>
      </c>
      <c r="AO124" s="142">
        <f>IF(U125="","",+Z124/Y124)</f>
        <v>7.8120688045200906E-2</v>
      </c>
      <c r="AP124" s="143" t="str">
        <f>IF(OR(AO124="",AO124&lt;$AP$13),"NO CUMPLE","CUMPLE")</f>
        <v>CUMPLE</v>
      </c>
      <c r="AQ124" s="142">
        <f>IF(U125="","",+Z124/V124)</f>
        <v>3.7512440938180264E-2</v>
      </c>
      <c r="AR124" s="36" t="str">
        <f>IF(OR(AQ124="",AQ124&lt;$AR$13),"NO CUMPLE","CUMPLE")</f>
        <v>CUMPLE</v>
      </c>
      <c r="AS124" s="36" t="str">
        <f>IF(U125="","",IF(AND(AP124="CUMPLE",AR124="CUMPLE"),"CUMPLE","NO CUMPLE"))</f>
        <v>CUMPLE</v>
      </c>
      <c r="AT124" s="36" t="s">
        <v>58</v>
      </c>
      <c r="AU124" s="32" t="str">
        <f>IF(U125="","",IF(AND(O124="CUMPLE",AS124="CUMPLE",AN124="CUMPLE",T124="CUMPLE",AT124="CUMPLE"),"CUMPLE","NO CUMPLE"))</f>
        <v>CUMPLE</v>
      </c>
      <c r="AV124" s="37"/>
      <c r="AW124" s="37"/>
    </row>
    <row r="125" spans="4:49" ht="15" x14ac:dyDescent="0.2">
      <c r="D125" s="38">
        <f>+D124+0.1</f>
        <v>31.1</v>
      </c>
      <c r="E125" s="39" t="s">
        <v>217</v>
      </c>
      <c r="F125" s="40">
        <v>890910447</v>
      </c>
      <c r="G125" s="41">
        <v>0.4</v>
      </c>
      <c r="H125" s="42"/>
      <c r="I125" s="42"/>
      <c r="J125" s="42"/>
      <c r="K125" s="42"/>
      <c r="L125" s="42"/>
      <c r="M125" s="66"/>
      <c r="N125" s="42"/>
      <c r="O125" s="42"/>
      <c r="P125" s="43">
        <v>46079</v>
      </c>
      <c r="Q125" s="43">
        <v>45759</v>
      </c>
      <c r="R125" s="38" t="str">
        <f>IF((NETWORKDAYS(Q125,P125)-1)&gt;=10,"CUMPLE","NO CUMPLE")</f>
        <v>CUMPLE</v>
      </c>
      <c r="S125" s="38" t="str">
        <f>IF(('[3]DATOS INICIALES'!$C$4-P125)&lt;30,"CUMPLE","NO CUMPLE")</f>
        <v>CUMPLE</v>
      </c>
      <c r="T125" s="38" t="str">
        <f t="shared" si="19"/>
        <v>CUMPLE</v>
      </c>
      <c r="U125" s="93">
        <v>22875597678</v>
      </c>
      <c r="V125" s="93">
        <v>24114278962</v>
      </c>
      <c r="W125" s="93">
        <v>12034976993</v>
      </c>
      <c r="X125" s="93">
        <v>13634922406</v>
      </c>
      <c r="Y125" s="93">
        <v>10479356556</v>
      </c>
      <c r="Z125" s="93">
        <v>592003014</v>
      </c>
      <c r="AA125" s="93">
        <v>353264884</v>
      </c>
      <c r="AB125" s="44">
        <f>+U125-W125</f>
        <v>10840620685</v>
      </c>
      <c r="AC125" s="48"/>
      <c r="AD125" s="47"/>
      <c r="AE125" s="67">
        <f>+U125-W125</f>
        <v>10840620685</v>
      </c>
      <c r="AF125" s="47"/>
      <c r="AG125" s="68"/>
      <c r="AH125" s="45"/>
      <c r="AI125" s="45"/>
      <c r="AJ125" s="45"/>
      <c r="AK125" s="45"/>
      <c r="AL125" s="45"/>
      <c r="AM125" s="45"/>
      <c r="AN125" s="46"/>
      <c r="AO125" s="144"/>
      <c r="AP125" s="144"/>
      <c r="AQ125" s="144"/>
      <c r="AR125" s="47"/>
      <c r="AS125" s="46"/>
      <c r="AT125" s="46"/>
      <c r="AU125" s="46"/>
      <c r="AV125" s="47"/>
      <c r="AW125" s="47"/>
    </row>
    <row r="126" spans="4:49" ht="15" x14ac:dyDescent="0.2">
      <c r="D126" s="38">
        <f>+D125+0.1</f>
        <v>31.200000000000003</v>
      </c>
      <c r="E126" s="39" t="s">
        <v>218</v>
      </c>
      <c r="F126" s="40">
        <v>901216744</v>
      </c>
      <c r="G126" s="41">
        <v>0.1</v>
      </c>
      <c r="H126" s="42"/>
      <c r="I126" s="42"/>
      <c r="J126" s="42"/>
      <c r="K126" s="42"/>
      <c r="L126" s="42"/>
      <c r="M126" s="66"/>
      <c r="N126" s="42"/>
      <c r="O126" s="42"/>
      <c r="P126" s="43">
        <v>46079</v>
      </c>
      <c r="Q126" s="43">
        <v>45752</v>
      </c>
      <c r="R126" s="38" t="str">
        <f>IF((NETWORKDAYS(Q126,P126)-1)&gt;=10,"CUMPLE","NO CUMPLE")</f>
        <v>CUMPLE</v>
      </c>
      <c r="S126" s="38" t="str">
        <f>IF(('[3]DATOS INICIALES'!$C$4-P126)&lt;30,"CUMPLE","NO CUMPLE")</f>
        <v>CUMPLE</v>
      </c>
      <c r="T126" s="38" t="str">
        <f t="shared" si="19"/>
        <v>CUMPLE</v>
      </c>
      <c r="U126" s="93">
        <v>5182706161</v>
      </c>
      <c r="V126" s="93">
        <v>8278801596</v>
      </c>
      <c r="W126" s="93">
        <v>1837440667</v>
      </c>
      <c r="X126" s="93">
        <v>3415572185</v>
      </c>
      <c r="Y126" s="93">
        <v>4863229411</v>
      </c>
      <c r="Z126" s="93">
        <v>950807047</v>
      </c>
      <c r="AA126" s="93">
        <v>418287008</v>
      </c>
      <c r="AB126" s="44">
        <f>+U126-W126</f>
        <v>3345265494</v>
      </c>
      <c r="AC126" s="48"/>
      <c r="AD126" s="47"/>
      <c r="AE126" s="67">
        <f>+U126-W126</f>
        <v>3345265494</v>
      </c>
      <c r="AF126" s="47"/>
      <c r="AG126" s="68"/>
      <c r="AH126" s="45"/>
      <c r="AI126" s="45"/>
      <c r="AJ126" s="45"/>
      <c r="AK126" s="45"/>
      <c r="AL126" s="45"/>
      <c r="AM126" s="45"/>
      <c r="AN126" s="46"/>
      <c r="AO126" s="144"/>
      <c r="AP126" s="144"/>
      <c r="AQ126" s="144"/>
      <c r="AR126" s="47"/>
      <c r="AS126" s="46"/>
      <c r="AT126" s="46"/>
      <c r="AU126" s="46"/>
      <c r="AV126" s="47"/>
      <c r="AW126" s="47"/>
    </row>
    <row r="127" spans="4:49" ht="15" x14ac:dyDescent="0.2">
      <c r="D127" s="38">
        <f>+D126+0.1</f>
        <v>31.300000000000004</v>
      </c>
      <c r="E127" s="39" t="s">
        <v>219</v>
      </c>
      <c r="F127" s="40">
        <v>900591649</v>
      </c>
      <c r="G127" s="41">
        <v>0.5</v>
      </c>
      <c r="H127" s="42"/>
      <c r="I127" s="42"/>
      <c r="J127" s="42"/>
      <c r="K127" s="42"/>
      <c r="L127" s="42"/>
      <c r="M127" s="66"/>
      <c r="N127" s="42"/>
      <c r="O127" s="42"/>
      <c r="P127" s="43">
        <v>46083</v>
      </c>
      <c r="Q127" s="43">
        <v>45747</v>
      </c>
      <c r="R127" s="38" t="str">
        <f>IF((NETWORKDAYS(Q127,P127)-1)&gt;=10,"CUMPLE","NO CUMPLE")</f>
        <v>CUMPLE</v>
      </c>
      <c r="S127" s="38" t="str">
        <f>IF(('[3]DATOS INICIALES'!$C$4-P127)&lt;30,"CUMPLE","NO CUMPLE")</f>
        <v>CUMPLE</v>
      </c>
      <c r="T127" s="38" t="str">
        <f t="shared" si="19"/>
        <v>CUMPLE</v>
      </c>
      <c r="U127" s="93">
        <v>3822947657</v>
      </c>
      <c r="V127" s="93">
        <v>4196557921</v>
      </c>
      <c r="W127" s="93">
        <v>281949377</v>
      </c>
      <c r="X127" s="93">
        <v>1479022799</v>
      </c>
      <c r="Y127" s="93">
        <v>2717535122</v>
      </c>
      <c r="Z127" s="93">
        <v>279439294</v>
      </c>
      <c r="AA127" s="93">
        <v>488000</v>
      </c>
      <c r="AB127" s="44">
        <f>+U127-W127</f>
        <v>3540998280</v>
      </c>
      <c r="AC127" s="48"/>
      <c r="AD127" s="47"/>
      <c r="AE127" s="67">
        <f>+U127-W127</f>
        <v>3540998280</v>
      </c>
      <c r="AF127" s="47"/>
      <c r="AG127" s="68"/>
      <c r="AH127" s="45"/>
      <c r="AI127" s="45"/>
      <c r="AJ127" s="45"/>
      <c r="AK127" s="45"/>
      <c r="AL127" s="45"/>
      <c r="AM127" s="45"/>
      <c r="AN127" s="46"/>
      <c r="AO127" s="144"/>
      <c r="AP127" s="144"/>
      <c r="AQ127" s="144"/>
      <c r="AR127" s="47"/>
      <c r="AS127" s="46"/>
      <c r="AT127" s="46"/>
      <c r="AU127" s="46"/>
      <c r="AV127" s="47"/>
      <c r="AW127" s="47"/>
    </row>
    <row r="128" spans="4:49" ht="15" x14ac:dyDescent="0.15">
      <c r="D128" s="62">
        <v>32</v>
      </c>
      <c r="E128" s="63" t="str">
        <f>IF(D128="","",VLOOKUP(D128,'[3]DATOS INICIALES'!$B$10:$D$69,2,0))</f>
        <v>CONSORCIO ESTANQUILLO SCD</v>
      </c>
      <c r="F128" s="64">
        <f>IF(D128="","",VLOOKUP(D128,'[3]DATOS INICIALES'!$B$10:$D$69,3,0))</f>
        <v>0</v>
      </c>
      <c r="G128" s="65">
        <f>SUM(G129:G131)</f>
        <v>1</v>
      </c>
      <c r="H128" s="64"/>
      <c r="I128" s="30" t="s">
        <v>55</v>
      </c>
      <c r="J128" s="30" t="str">
        <f>IF(I128="SI","CUMPLE", "NO CUMPLE")</f>
        <v>CUMPLE</v>
      </c>
      <c r="K128" s="30" t="s">
        <v>55</v>
      </c>
      <c r="L128" s="30" t="str">
        <f>IF(K128="SI","CUMPLE", "NO CUMPLE")</f>
        <v>CUMPLE</v>
      </c>
      <c r="M128" s="51">
        <f>+IFERROR(VLOOKUP(D128,'[3]DATOS INICIALES'!$B$10:$G$100,6,0),0)</f>
        <v>69477143896</v>
      </c>
      <c r="N128" s="30" t="str">
        <f>IF(M128&lt;='[3]DATOS INICIALES'!$C$6,"CUMPLE","NO CUMPLE")</f>
        <v>CUMPLE</v>
      </c>
      <c r="O128" s="30" t="str">
        <f>IF(AND(J128="CUMPLE",L128="CUMPLE",N128="CUMPLE"),"CUMPLE","NO CUMPLE")</f>
        <v>CUMPLE</v>
      </c>
      <c r="P128" s="31"/>
      <c r="Q128" s="31"/>
      <c r="R128" s="32" t="str">
        <f>IF(AND(R129="CUMPLE",R130="CUMPLE",R131="CUMPLE"),"CUMPLE","NO CUMPLE")</f>
        <v>CUMPLE</v>
      </c>
      <c r="S128" s="32" t="str">
        <f>IF(AND(S129="CUMPLE",S130="CUMPLE",S131="CUMPLE"),"CUMPLE","NO CUMPLE")</f>
        <v>CUMPLE</v>
      </c>
      <c r="T128" s="32" t="str">
        <f t="shared" si="19"/>
        <v>CUMPLE</v>
      </c>
      <c r="U128" s="33">
        <f t="shared" ref="U128:AB128" si="33">+(U129*$G129)+(U130*$G130)+(U131*$G131)</f>
        <v>12781036938.065899</v>
      </c>
      <c r="V128" s="33">
        <f t="shared" si="33"/>
        <v>16844856599.103298</v>
      </c>
      <c r="W128" s="33">
        <f t="shared" si="33"/>
        <v>4487944228.3792</v>
      </c>
      <c r="X128" s="33">
        <f t="shared" si="33"/>
        <v>5020957766.6878996</v>
      </c>
      <c r="Y128" s="33">
        <f t="shared" si="33"/>
        <v>11823898832.4154</v>
      </c>
      <c r="Z128" s="33">
        <f t="shared" si="33"/>
        <v>4454956057.7635002</v>
      </c>
      <c r="AA128" s="33">
        <f t="shared" si="33"/>
        <v>37804457.522</v>
      </c>
      <c r="AB128" s="34">
        <f t="shared" si="33"/>
        <v>8293092709.6866999</v>
      </c>
      <c r="AC128" s="34"/>
      <c r="AD128" s="32" t="str">
        <f>IF(AB128&gt;=$AD$13,"CUMPLE","NO CUMPLE")</f>
        <v>CUMPLE</v>
      </c>
      <c r="AE128" s="75">
        <f>+MAX(AE129:AE131)</f>
        <v>22827608512</v>
      </c>
      <c r="AF128" s="32"/>
      <c r="AG128" s="32" t="str">
        <f>+IF(AE128&gt;=$AG$13,"CUMPLE","NO CUMPLE")</f>
        <v>CUMPLE</v>
      </c>
      <c r="AH128" s="32">
        <f>IF(E128="","",(IF(W128=0,"INDETERMINADO",+U128/W128)))</f>
        <v>2.8478600195710788</v>
      </c>
      <c r="AI128" s="32" t="str">
        <f>IF(OR(AH128="",AH128&lt;$AI$13),"NO CUMPLE","CUMPLE")</f>
        <v>CUMPLE</v>
      </c>
      <c r="AJ128" s="32">
        <f>IF(U129="","",+X128/V128)</f>
        <v>0.29807067440129947</v>
      </c>
      <c r="AK128" s="32" t="str">
        <f>IF(OR(AJ128="",AJ128&gt;$AK$13),"NO CUMPLE","CUMPLE")</f>
        <v>CUMPLE</v>
      </c>
      <c r="AL128" s="32">
        <f>IF(AA128=0,"INDET",(IF(U129="","",Z128/AA128)))</f>
        <v>117.84208397041472</v>
      </c>
      <c r="AM128" s="32" t="str">
        <f>IF(OR(AL128="",AL128&lt;$AM$13),"NO CUMPLE","CUMPLE")</f>
        <v>CUMPLE</v>
      </c>
      <c r="AN128" s="32" t="str">
        <f>IF(AND(AG128="CUMPLE",AI128="CUMPLE",AK128="CUMPLE",AM128="CUMPLE",AD128="CUMPLE"),"CUMPLE","NO CUMPLE")</f>
        <v>CUMPLE</v>
      </c>
      <c r="AO128" s="142">
        <f>IF(U129="","",+Z128/Y128)</f>
        <v>0.37677555609239233</v>
      </c>
      <c r="AP128" s="143" t="str">
        <f>IF(OR(AO128="",AO128&lt;$AP$13),"NO CUMPLE","CUMPLE")</f>
        <v>CUMPLE</v>
      </c>
      <c r="AQ128" s="142">
        <f>IF(U129="","",+Z128/V128)</f>
        <v>0.2644698119900083</v>
      </c>
      <c r="AR128" s="36" t="str">
        <f>IF(OR(AQ128="",AQ128&lt;$AR$13),"NO CUMPLE","CUMPLE")</f>
        <v>CUMPLE</v>
      </c>
      <c r="AS128" s="36" t="str">
        <f>IF(U129="","",IF(AND(AP128="CUMPLE",AR128="CUMPLE"),"CUMPLE","NO CUMPLE"))</f>
        <v>CUMPLE</v>
      </c>
      <c r="AT128" s="36" t="s">
        <v>58</v>
      </c>
      <c r="AU128" s="32" t="str">
        <f>IF(U129="","",IF(AND(O128="CUMPLE",AS128="CUMPLE",AN128="CUMPLE",T128="CUMPLE",AT128="CUMPLE"),"CUMPLE","NO CUMPLE"))</f>
        <v>CUMPLE</v>
      </c>
      <c r="AV128" s="37"/>
      <c r="AW128" s="37"/>
    </row>
    <row r="129" spans="4:49" ht="15" x14ac:dyDescent="0.2">
      <c r="D129" s="38">
        <f>+D128+0.1</f>
        <v>32.1</v>
      </c>
      <c r="E129" s="39" t="s">
        <v>220</v>
      </c>
      <c r="F129" s="40">
        <v>860504871</v>
      </c>
      <c r="G129" s="41">
        <v>0.33339999999999997</v>
      </c>
      <c r="H129" s="42"/>
      <c r="I129" s="42"/>
      <c r="J129" s="42"/>
      <c r="K129" s="42"/>
      <c r="L129" s="42"/>
      <c r="M129" s="66"/>
      <c r="N129" s="42"/>
      <c r="O129" s="42"/>
      <c r="P129" s="43">
        <v>46083</v>
      </c>
      <c r="Q129" s="43">
        <v>45785</v>
      </c>
      <c r="R129" s="38" t="str">
        <f>IF((NETWORKDAYS(Q129,P129)-1)&gt;=10,"CUMPLE","NO CUMPLE")</f>
        <v>CUMPLE</v>
      </c>
      <c r="S129" s="38" t="str">
        <f>IF(('[3]DATOS INICIALES'!$C$4-P129)&lt;30,"CUMPLE","NO CUMPLE")</f>
        <v>CUMPLE</v>
      </c>
      <c r="T129" s="38" t="str">
        <f t="shared" si="19"/>
        <v>CUMPLE</v>
      </c>
      <c r="U129" s="93">
        <v>4342324886</v>
      </c>
      <c r="V129" s="93">
        <v>4415567352</v>
      </c>
      <c r="W129" s="93">
        <v>2329460557</v>
      </c>
      <c r="X129" s="93">
        <v>2335763192</v>
      </c>
      <c r="Y129" s="93">
        <v>2079804160</v>
      </c>
      <c r="Z129" s="93">
        <v>140578507</v>
      </c>
      <c r="AA129" s="93">
        <v>12070584.5</v>
      </c>
      <c r="AB129" s="44">
        <f>+U129-W129</f>
        <v>2012864329</v>
      </c>
      <c r="AC129" s="48"/>
      <c r="AD129" s="47"/>
      <c r="AE129" s="67">
        <f>+U129-W129</f>
        <v>2012864329</v>
      </c>
      <c r="AF129" s="47"/>
      <c r="AG129" s="68"/>
      <c r="AH129" s="45"/>
      <c r="AI129" s="45"/>
      <c r="AJ129" s="45"/>
      <c r="AK129" s="45"/>
      <c r="AL129" s="45"/>
      <c r="AM129" s="45"/>
      <c r="AN129" s="46"/>
      <c r="AO129" s="144"/>
      <c r="AP129" s="144"/>
      <c r="AQ129" s="144"/>
      <c r="AR129" s="47"/>
      <c r="AS129" s="46"/>
      <c r="AT129" s="46"/>
      <c r="AU129" s="46"/>
      <c r="AV129" s="47"/>
      <c r="AW129" s="47"/>
    </row>
    <row r="130" spans="4:49" ht="26" x14ac:dyDescent="0.2">
      <c r="D130" s="38">
        <f>+D129+0.1</f>
        <v>32.200000000000003</v>
      </c>
      <c r="E130" s="39" t="s">
        <v>221</v>
      </c>
      <c r="F130" s="40">
        <v>900498289</v>
      </c>
      <c r="G130" s="41">
        <v>0.33329999999999999</v>
      </c>
      <c r="H130" s="42"/>
      <c r="I130" s="42"/>
      <c r="J130" s="42"/>
      <c r="K130" s="42"/>
      <c r="L130" s="42"/>
      <c r="M130" s="66"/>
      <c r="N130" s="42"/>
      <c r="O130" s="42"/>
      <c r="P130" s="43">
        <v>46080</v>
      </c>
      <c r="Q130" s="43">
        <v>45749</v>
      </c>
      <c r="R130" s="38" t="str">
        <f>IF((NETWORKDAYS(Q130,P130)-1)&gt;=10,"CUMPLE","NO CUMPLE")</f>
        <v>CUMPLE</v>
      </c>
      <c r="S130" s="38" t="str">
        <f>IF(('[3]DATOS INICIALES'!$C$4-P130)&lt;30,"CUMPLE","NO CUMPLE")</f>
        <v>CUMPLE</v>
      </c>
      <c r="T130" s="38" t="str">
        <f t="shared" si="19"/>
        <v>CUMPLE</v>
      </c>
      <c r="U130" s="93">
        <v>33959402253</v>
      </c>
      <c r="V130" s="93">
        <v>46078816063</v>
      </c>
      <c r="W130" s="93">
        <v>11131793741</v>
      </c>
      <c r="X130" s="93">
        <v>12724689750</v>
      </c>
      <c r="Y130" s="93">
        <v>33354126313</v>
      </c>
      <c r="Z130" s="93">
        <v>13229325867</v>
      </c>
      <c r="AA130" s="93">
        <v>101350509</v>
      </c>
      <c r="AB130" s="44">
        <f>+U130-W130</f>
        <v>22827608512</v>
      </c>
      <c r="AC130" s="48"/>
      <c r="AD130" s="47"/>
      <c r="AE130" s="67">
        <f>+U130-W130</f>
        <v>22827608512</v>
      </c>
      <c r="AF130" s="47"/>
      <c r="AG130" s="68"/>
      <c r="AH130" s="45"/>
      <c r="AI130" s="45"/>
      <c r="AJ130" s="45"/>
      <c r="AK130" s="45"/>
      <c r="AL130" s="45"/>
      <c r="AM130" s="45"/>
      <c r="AN130" s="46"/>
      <c r="AO130" s="144"/>
      <c r="AP130" s="144"/>
      <c r="AQ130" s="144"/>
      <c r="AR130" s="47"/>
      <c r="AS130" s="46"/>
      <c r="AT130" s="46"/>
      <c r="AU130" s="46"/>
      <c r="AV130" s="47"/>
      <c r="AW130" s="47"/>
    </row>
    <row r="131" spans="4:49" ht="15" x14ac:dyDescent="0.2">
      <c r="D131" s="38">
        <f>+D130+0.1</f>
        <v>32.300000000000004</v>
      </c>
      <c r="E131" s="39" t="s">
        <v>222</v>
      </c>
      <c r="F131" s="40">
        <v>901773579</v>
      </c>
      <c r="G131" s="41">
        <v>0.33329999999999999</v>
      </c>
      <c r="H131" s="42"/>
      <c r="I131" s="42"/>
      <c r="J131" s="42"/>
      <c r="K131" s="42"/>
      <c r="L131" s="42"/>
      <c r="M131" s="66"/>
      <c r="N131" s="42"/>
      <c r="O131" s="42"/>
      <c r="P131" s="43">
        <v>46079</v>
      </c>
      <c r="Q131" s="43">
        <v>45705</v>
      </c>
      <c r="R131" s="38" t="str">
        <f>IF((NETWORKDAYS(Q131,P131)-1)&gt;=10,"CUMPLE","NO CUMPLE")</f>
        <v>CUMPLE</v>
      </c>
      <c r="S131" s="38" t="str">
        <f>IF(('[3]DATOS INICIALES'!$C$4-P131)&lt;30,"CUMPLE","NO CUMPLE")</f>
        <v>CUMPLE</v>
      </c>
      <c r="T131" s="38" t="str">
        <f t="shared" si="19"/>
        <v>CUMPLE</v>
      </c>
      <c r="U131" s="154">
        <v>43915542</v>
      </c>
      <c r="V131" s="154">
        <v>43915542</v>
      </c>
      <c r="W131" s="154">
        <v>3225997</v>
      </c>
      <c r="X131" s="154">
        <v>3225997</v>
      </c>
      <c r="Y131" s="154">
        <v>40689545</v>
      </c>
      <c r="Z131" s="154">
        <v>-3741758</v>
      </c>
      <c r="AA131" s="154">
        <v>0</v>
      </c>
      <c r="AB131" s="44">
        <f>+U131-W131</f>
        <v>40689545</v>
      </c>
      <c r="AC131" s="48"/>
      <c r="AD131" s="47"/>
      <c r="AE131" s="67">
        <f>+U131-W131</f>
        <v>40689545</v>
      </c>
      <c r="AF131" s="47"/>
      <c r="AG131" s="68"/>
      <c r="AH131" s="45"/>
      <c r="AI131" s="45"/>
      <c r="AJ131" s="45"/>
      <c r="AK131" s="45"/>
      <c r="AL131" s="45"/>
      <c r="AM131" s="45"/>
      <c r="AN131" s="46"/>
      <c r="AO131" s="144"/>
      <c r="AP131" s="144"/>
      <c r="AQ131" s="144"/>
      <c r="AR131" s="47"/>
      <c r="AS131" s="46"/>
      <c r="AT131" s="46"/>
      <c r="AU131" s="46"/>
      <c r="AV131" s="47"/>
      <c r="AW131" s="47"/>
    </row>
    <row r="132" spans="4:49" ht="15" x14ac:dyDescent="0.15">
      <c r="D132" s="62">
        <v>33</v>
      </c>
      <c r="E132" s="63" t="str">
        <f>IF(D132="","",VLOOKUP(D132,'[3]DATOS INICIALES'!$B$10:$D$69,2,0))</f>
        <v>CONSORCIO GIS INFRAVISIÓN PACÍFICO</v>
      </c>
      <c r="F132" s="64">
        <f>IF(D132="","",VLOOKUP(D132,'[3]DATOS INICIALES'!$B$10:$D$69,3,0))</f>
        <v>0</v>
      </c>
      <c r="G132" s="65">
        <f>SUM(G133:G134)</f>
        <v>1</v>
      </c>
      <c r="H132" s="64"/>
      <c r="I132" s="30" t="s">
        <v>55</v>
      </c>
      <c r="J132" s="30" t="str">
        <f>IF(I132="SI","CUMPLE", "NO CUMPLE")</f>
        <v>CUMPLE</v>
      </c>
      <c r="K132" s="30" t="s">
        <v>55</v>
      </c>
      <c r="L132" s="30" t="str">
        <f>IF(K132="SI","CUMPLE", "NO CUMPLE")</f>
        <v>CUMPLE</v>
      </c>
      <c r="M132" s="51">
        <f>+IFERROR(VLOOKUP(D132,'[3]DATOS INICIALES'!$B$10:$G$100,6,0),0)</f>
        <v>69477143896</v>
      </c>
      <c r="N132" s="30" t="str">
        <f>IF(M132&lt;='[3]DATOS INICIALES'!$C$6,"CUMPLE","NO CUMPLE")</f>
        <v>CUMPLE</v>
      </c>
      <c r="O132" s="30" t="str">
        <f>IF(AND(J132="CUMPLE",L132="CUMPLE",N132="CUMPLE"),"CUMPLE","NO CUMPLE")</f>
        <v>CUMPLE</v>
      </c>
      <c r="P132" s="31"/>
      <c r="Q132" s="31"/>
      <c r="R132" s="32" t="str">
        <f>IF(AND(R133="CUMPLE",R134="CUMPLE"),"CUMPLE","NO CUMPLE")</f>
        <v>CUMPLE</v>
      </c>
      <c r="S132" s="32" t="str">
        <f>IF(AND(S133="CUMPLE",S134="CUMPLE"),"CUMPLE","NO CUMPLE")</f>
        <v>CUMPLE</v>
      </c>
      <c r="T132" s="32" t="str">
        <f t="shared" si="19"/>
        <v>CUMPLE</v>
      </c>
      <c r="U132" s="155">
        <f t="shared" ref="U132:AB132" si="34">+(U133*$G133)+(U134*$G134)</f>
        <v>15295463510.099998</v>
      </c>
      <c r="V132" s="155">
        <f t="shared" si="34"/>
        <v>18859917779.099998</v>
      </c>
      <c r="W132" s="155">
        <f t="shared" si="34"/>
        <v>8212789213.5999994</v>
      </c>
      <c r="X132" s="155">
        <f t="shared" si="34"/>
        <v>9285729148.2999992</v>
      </c>
      <c r="Y132" s="155">
        <f t="shared" si="34"/>
        <v>9574188630.7999992</v>
      </c>
      <c r="Z132" s="155">
        <f t="shared" si="34"/>
        <v>1032562319.8419999</v>
      </c>
      <c r="AA132" s="155">
        <f t="shared" si="34"/>
        <v>101622169.323</v>
      </c>
      <c r="AB132" s="34">
        <f t="shared" si="34"/>
        <v>7082674296.5</v>
      </c>
      <c r="AC132" s="34"/>
      <c r="AD132" s="32" t="str">
        <f>IF(AB132&gt;=$AD$13,"CUMPLE","NO CUMPLE")</f>
        <v>CUMPLE</v>
      </c>
      <c r="AE132" s="75">
        <f>+MAX(AE133:AE134)</f>
        <v>20512079219</v>
      </c>
      <c r="AF132" s="32"/>
      <c r="AG132" s="32" t="str">
        <f>+IF(AE132&gt;=$AG$13,"CUMPLE","NO CUMPLE")</f>
        <v>CUMPLE</v>
      </c>
      <c r="AH132" s="32">
        <f>IF(E132="","",(IF(W132=0,"INDETERMINADO",+U132/W132)))</f>
        <v>1.8623957235833373</v>
      </c>
      <c r="AI132" s="32" t="str">
        <f>IF(OR(AH132="",AH132&lt;$AI$13),"NO CUMPLE","CUMPLE")</f>
        <v>CUMPLE</v>
      </c>
      <c r="AJ132" s="32">
        <f>IF(U133="","",+X132/V132)</f>
        <v>0.49235257847148034</v>
      </c>
      <c r="AK132" s="32" t="str">
        <f>IF(OR(AJ132="",AJ132&gt;$AK$13),"NO CUMPLE","CUMPLE")</f>
        <v>CUMPLE</v>
      </c>
      <c r="AL132" s="32">
        <f>IF(AA132=0,"INDET",(IF(U133="","",Z132/AA132)))</f>
        <v>10.160797852681753</v>
      </c>
      <c r="AM132" s="32" t="str">
        <f>IF(OR(AL132="",AL132&lt;$AM$13),"NO CUMPLE","CUMPLE")</f>
        <v>CUMPLE</v>
      </c>
      <c r="AN132" s="32" t="str">
        <f>IF(AND(AG132="CUMPLE",AI132="CUMPLE",AK132="CUMPLE",AM132="CUMPLE",AD132="CUMPLE"),"CUMPLE","NO CUMPLE")</f>
        <v>CUMPLE</v>
      </c>
      <c r="AO132" s="142">
        <f>IF(U133="","",+Z132/Y132)</f>
        <v>0.10784854567417491</v>
      </c>
      <c r="AP132" s="143" t="str">
        <f>IF(OR(AO132="",AO132&lt;$AP$13),"NO CUMPLE","CUMPLE")</f>
        <v>CUMPLE</v>
      </c>
      <c r="AQ132" s="142">
        <f>IF(U133="","",+Z132/V132)</f>
        <v>5.4749036127095675E-2</v>
      </c>
      <c r="AR132" s="36" t="str">
        <f>IF(OR(AQ132="",AQ132&lt;$AR$13),"NO CUMPLE","CUMPLE")</f>
        <v>CUMPLE</v>
      </c>
      <c r="AS132" s="36" t="str">
        <f>IF(U133="","",IF(AND(AP132="CUMPLE",AR132="CUMPLE"),"CUMPLE","NO CUMPLE"))</f>
        <v>CUMPLE</v>
      </c>
      <c r="AT132" s="36" t="s">
        <v>58</v>
      </c>
      <c r="AU132" s="32" t="str">
        <f>IF(U133="","",IF(AND(O132="CUMPLE",AS132="CUMPLE",AN132="CUMPLE",T132="CUMPLE",AT132="CUMPLE"),"CUMPLE","NO CUMPLE"))</f>
        <v>CUMPLE</v>
      </c>
      <c r="AV132" s="37"/>
      <c r="AW132" s="37"/>
    </row>
    <row r="133" spans="4:49" ht="15" x14ac:dyDescent="0.2">
      <c r="D133" s="38">
        <f>+D132+0.1</f>
        <v>33.1</v>
      </c>
      <c r="E133" s="39" t="s">
        <v>223</v>
      </c>
      <c r="F133" s="40">
        <v>901438138</v>
      </c>
      <c r="G133" s="41">
        <v>0.7</v>
      </c>
      <c r="H133" s="42"/>
      <c r="I133" s="42"/>
      <c r="J133" s="42"/>
      <c r="K133" s="42"/>
      <c r="L133" s="42"/>
      <c r="M133" s="66"/>
      <c r="N133" s="42"/>
      <c r="O133" s="42"/>
      <c r="P133" s="43">
        <v>46077</v>
      </c>
      <c r="Q133" s="43">
        <v>45776</v>
      </c>
      <c r="R133" s="38" t="str">
        <f>IF((NETWORKDAYS(Q133,P133)-1)&gt;=10,"CUMPLE","NO CUMPLE")</f>
        <v>CUMPLE</v>
      </c>
      <c r="S133" s="38" t="str">
        <f>IF(('[3]DATOS INICIALES'!$C$4-P133)&lt;30,"CUMPLE","NO CUMPLE")</f>
        <v>CUMPLE</v>
      </c>
      <c r="T133" s="38" t="str">
        <f t="shared" si="19"/>
        <v>CUMPLE</v>
      </c>
      <c r="U133" s="93">
        <v>4353865056</v>
      </c>
      <c r="V133" s="93">
        <v>4358782791</v>
      </c>
      <c r="W133" s="93">
        <v>3026650012</v>
      </c>
      <c r="X133" s="93">
        <v>3026650012</v>
      </c>
      <c r="Y133" s="93">
        <v>1332132779</v>
      </c>
      <c r="Z133" s="93">
        <v>544441237</v>
      </c>
      <c r="AA133" s="93">
        <v>0</v>
      </c>
      <c r="AB133" s="44">
        <f>+U133-W133</f>
        <v>1327215044</v>
      </c>
      <c r="AC133" s="48"/>
      <c r="AD133" s="47"/>
      <c r="AE133" s="67">
        <f>+U133-W133</f>
        <v>1327215044</v>
      </c>
      <c r="AF133" s="47"/>
      <c r="AG133" s="68"/>
      <c r="AH133" s="45"/>
      <c r="AI133" s="45"/>
      <c r="AJ133" s="45"/>
      <c r="AK133" s="45"/>
      <c r="AL133" s="45"/>
      <c r="AM133" s="45"/>
      <c r="AN133" s="46"/>
      <c r="AO133" s="144"/>
      <c r="AP133" s="144"/>
      <c r="AQ133" s="144"/>
      <c r="AR133" s="47"/>
      <c r="AS133" s="46"/>
      <c r="AT133" s="46"/>
      <c r="AU133" s="46"/>
      <c r="AV133" s="47"/>
      <c r="AW133" s="47"/>
    </row>
    <row r="134" spans="4:49" ht="26" x14ac:dyDescent="0.2">
      <c r="D134" s="38">
        <f>+D133+0.1</f>
        <v>33.200000000000003</v>
      </c>
      <c r="E134" s="39" t="s">
        <v>224</v>
      </c>
      <c r="F134" s="40">
        <v>90043651</v>
      </c>
      <c r="G134" s="41">
        <v>0.3</v>
      </c>
      <c r="H134" s="42"/>
      <c r="I134" s="42"/>
      <c r="J134" s="42"/>
      <c r="K134" s="42"/>
      <c r="L134" s="42"/>
      <c r="M134" s="66"/>
      <c r="N134" s="42"/>
      <c r="O134" s="42"/>
      <c r="P134" s="43">
        <v>46077</v>
      </c>
      <c r="Q134" s="43">
        <v>45776</v>
      </c>
      <c r="R134" s="38" t="str">
        <f>IF((NETWORKDAYS(Q134,P134)-1)&gt;=10,"CUMPLE","NO CUMPLE")</f>
        <v>CUMPLE</v>
      </c>
      <c r="S134" s="38" t="str">
        <f>IF(('[3]DATOS INICIALES'!$C$4-P134)&lt;30,"CUMPLE","NO CUMPLE")</f>
        <v>CUMPLE</v>
      </c>
      <c r="T134" s="38" t="str">
        <f t="shared" si="19"/>
        <v>CUMPLE</v>
      </c>
      <c r="U134" s="154">
        <v>40825859903</v>
      </c>
      <c r="V134" s="154">
        <v>52695899418</v>
      </c>
      <c r="W134" s="154">
        <v>20313780684</v>
      </c>
      <c r="X134" s="154">
        <v>23890247133</v>
      </c>
      <c r="Y134" s="154">
        <v>28805652285</v>
      </c>
      <c r="Z134" s="154">
        <v>2171511513.1399999</v>
      </c>
      <c r="AA134" s="154">
        <v>338740564.41000003</v>
      </c>
      <c r="AB134" s="44">
        <f>+U134-W134</f>
        <v>20512079219</v>
      </c>
      <c r="AC134" s="48"/>
      <c r="AD134" s="47"/>
      <c r="AE134" s="67">
        <f>+U134-W134</f>
        <v>20512079219</v>
      </c>
      <c r="AF134" s="47"/>
      <c r="AG134" s="68"/>
      <c r="AH134" s="45"/>
      <c r="AI134" s="45"/>
      <c r="AJ134" s="45"/>
      <c r="AK134" s="45"/>
      <c r="AL134" s="45"/>
      <c r="AM134" s="45"/>
      <c r="AN134" s="46"/>
      <c r="AO134" s="144"/>
      <c r="AP134" s="144"/>
      <c r="AQ134" s="144"/>
      <c r="AR134" s="47"/>
      <c r="AS134" s="46"/>
      <c r="AT134" s="46"/>
      <c r="AU134" s="46"/>
      <c r="AV134" s="47"/>
      <c r="AW134" s="47"/>
    </row>
    <row r="135" spans="4:49" ht="15" x14ac:dyDescent="0.15">
      <c r="D135" s="62">
        <v>34</v>
      </c>
      <c r="E135" s="63" t="str">
        <f>IF(D135="","",VLOOKUP(D135,'[3]DATOS INICIALES'!$B$10:$D$69,2,0))</f>
        <v>CONSORCIO INTERVENTOR ESTANQUILLO I</v>
      </c>
      <c r="F135" s="64">
        <f>IF(D135="","",VLOOKUP(D135,'[3]DATOS INICIALES'!$B$10:$D$69,3,0))</f>
        <v>0</v>
      </c>
      <c r="G135" s="65">
        <f>SUM(G136:G138)</f>
        <v>1</v>
      </c>
      <c r="H135" s="64"/>
      <c r="I135" s="30" t="s">
        <v>55</v>
      </c>
      <c r="J135" s="30" t="str">
        <f>IF(I135="SI","CUMPLE", "NO CUMPLE")</f>
        <v>CUMPLE</v>
      </c>
      <c r="K135" s="30" t="s">
        <v>55</v>
      </c>
      <c r="L135" s="30" t="str">
        <f>IF(K135="SI","CUMPLE", "NO CUMPLE")</f>
        <v>CUMPLE</v>
      </c>
      <c r="M135" s="51">
        <f>+IFERROR(VLOOKUP(D135,'[3]DATOS INICIALES'!$B$10:$G$100,6,0),0)</f>
        <v>69477143896</v>
      </c>
      <c r="N135" s="30" t="str">
        <f>IF(M135&lt;='[3]DATOS INICIALES'!$C$6,"CUMPLE","NO CUMPLE")</f>
        <v>CUMPLE</v>
      </c>
      <c r="O135" s="30" t="str">
        <f>IF(AND(J135="CUMPLE",L135="CUMPLE",N135="CUMPLE"),"CUMPLE","NO CUMPLE")</f>
        <v>CUMPLE</v>
      </c>
      <c r="P135" s="31"/>
      <c r="Q135" s="31"/>
      <c r="R135" s="32" t="str">
        <f>IF(AND(R136="CUMPLE",R137="CUMPLE",R138="CUMPLE"),"CUMPLE","NO CUMPLE")</f>
        <v>CUMPLE</v>
      </c>
      <c r="S135" s="32" t="str">
        <f>IF(AND(S136="CUMPLE",S137="CUMPLE",S138="CUMPLE"),"CUMPLE","NO CUMPLE")</f>
        <v>CUMPLE</v>
      </c>
      <c r="T135" s="32" t="str">
        <f t="shared" si="19"/>
        <v>CUMPLE</v>
      </c>
      <c r="U135" s="155">
        <f t="shared" ref="U135:AB135" si="35">+(U136*$G136)+(U137*$G137)+(U138*$G138)</f>
        <v>37073625787.669998</v>
      </c>
      <c r="V135" s="155">
        <f t="shared" si="35"/>
        <v>57147817005.910004</v>
      </c>
      <c r="W135" s="155">
        <f t="shared" si="35"/>
        <v>17967203465.400002</v>
      </c>
      <c r="X135" s="155">
        <f t="shared" si="35"/>
        <v>25805539668.41</v>
      </c>
      <c r="Y135" s="155">
        <f t="shared" si="35"/>
        <v>31342277337.5</v>
      </c>
      <c r="Z135" s="155">
        <f t="shared" si="35"/>
        <v>1621901004.4200001</v>
      </c>
      <c r="AA135" s="155">
        <f t="shared" si="35"/>
        <v>657007619.73000002</v>
      </c>
      <c r="AB135" s="34">
        <f t="shared" si="35"/>
        <v>19106422322.27</v>
      </c>
      <c r="AC135" s="34"/>
      <c r="AD135" s="32" t="str">
        <f>IF(AB135&gt;=$AD$13,"CUMPLE","NO CUMPLE")</f>
        <v>CUMPLE</v>
      </c>
      <c r="AE135" s="75">
        <f>+MAX(AE136:AE138)</f>
        <v>39086755271</v>
      </c>
      <c r="AF135" s="32"/>
      <c r="AG135" s="32" t="str">
        <f>+IF(AE135&gt;=$AG$13,"CUMPLE","NO CUMPLE")</f>
        <v>CUMPLE</v>
      </c>
      <c r="AH135" s="32">
        <f>IF(E135="","",(IF(W135=0,"INDETERMINADO",+U135/W135)))</f>
        <v>2.063405463129742</v>
      </c>
      <c r="AI135" s="32" t="str">
        <f>IF(OR(AH135="",AH135&lt;$AI$13),"NO CUMPLE","CUMPLE")</f>
        <v>CUMPLE</v>
      </c>
      <c r="AJ135" s="32">
        <f>IF(U136="","",+X135/V135)</f>
        <v>0.45155775006666121</v>
      </c>
      <c r="AK135" s="32" t="str">
        <f>IF(OR(AJ135="",AJ135&gt;$AK$13),"NO CUMPLE","CUMPLE")</f>
        <v>CUMPLE</v>
      </c>
      <c r="AL135" s="32">
        <f>IF(AA135=0,"INDET",(IF(U136="","",Z135/AA135)))</f>
        <v>2.4686182560356409</v>
      </c>
      <c r="AM135" s="32" t="str">
        <f>IF(OR(AL135="",AL135&lt;$AM$13),"NO CUMPLE","CUMPLE")</f>
        <v>CUMPLE</v>
      </c>
      <c r="AN135" s="32" t="str">
        <f>IF(AND(AG135="CUMPLE",AI135="CUMPLE",AK135="CUMPLE",AM135="CUMPLE",AD135="CUMPLE"),"CUMPLE","NO CUMPLE")</f>
        <v>CUMPLE</v>
      </c>
      <c r="AO135" s="142">
        <f>IF(U136="","",+Z135/Y135)</f>
        <v>5.174802669745536E-2</v>
      </c>
      <c r="AP135" s="143" t="str">
        <f>IF(OR(AO135="",AO135&lt;$AP$13),"NO CUMPLE","CUMPLE")</f>
        <v>CUMPLE</v>
      </c>
      <c r="AQ135" s="142">
        <f>IF(U136="","",+Z135/V135)</f>
        <v>2.8380804191562897E-2</v>
      </c>
      <c r="AR135" s="36" t="str">
        <f>IF(OR(AQ135="",AQ135&lt;$AR$13),"NO CUMPLE","CUMPLE")</f>
        <v>CUMPLE</v>
      </c>
      <c r="AS135" s="36" t="str">
        <f>IF(U136="","",IF(AND(AP135="CUMPLE",AR135="CUMPLE"),"CUMPLE","NO CUMPLE"))</f>
        <v>CUMPLE</v>
      </c>
      <c r="AT135" s="36" t="s">
        <v>58</v>
      </c>
      <c r="AU135" s="32" t="str">
        <f>IF(U136="","",IF(AND(O135="CUMPLE",AS135="CUMPLE",AN135="CUMPLE",T135="CUMPLE",AT135="CUMPLE"),"CUMPLE","NO CUMPLE"))</f>
        <v>CUMPLE</v>
      </c>
      <c r="AV135" s="37"/>
      <c r="AW135" s="37"/>
    </row>
    <row r="136" spans="4:49" ht="15" x14ac:dyDescent="0.2">
      <c r="D136" s="38">
        <f>+D135+0.1</f>
        <v>34.1</v>
      </c>
      <c r="E136" s="39" t="s">
        <v>225</v>
      </c>
      <c r="F136" s="40">
        <v>901190467</v>
      </c>
      <c r="G136" s="41">
        <v>0.34</v>
      </c>
      <c r="H136" s="42"/>
      <c r="I136" s="42"/>
      <c r="J136" s="42"/>
      <c r="K136" s="42"/>
      <c r="L136" s="42"/>
      <c r="M136" s="66"/>
      <c r="N136" s="42"/>
      <c r="O136" s="42"/>
      <c r="P136" s="43">
        <v>46080</v>
      </c>
      <c r="Q136" s="43">
        <v>45776</v>
      </c>
      <c r="R136" s="38" t="str">
        <f>IF((NETWORKDAYS(Q136,P136)-1)&gt;=10,"CUMPLE","NO CUMPLE")</f>
        <v>CUMPLE</v>
      </c>
      <c r="S136" s="38" t="str">
        <f>IF(('[3]DATOS INICIALES'!$C$4-P136)&lt;30,"CUMPLE","NO CUMPLE")</f>
        <v>CUMPLE</v>
      </c>
      <c r="T136" s="38" t="str">
        <f t="shared" si="19"/>
        <v>CUMPLE</v>
      </c>
      <c r="U136" s="93">
        <v>56215482104</v>
      </c>
      <c r="V136" s="93">
        <v>59196165013</v>
      </c>
      <c r="W136" s="93">
        <v>17128726833</v>
      </c>
      <c r="X136" s="93">
        <v>19839356420</v>
      </c>
      <c r="Y136" s="93">
        <v>39356808593</v>
      </c>
      <c r="Z136" s="93">
        <v>-1600349997</v>
      </c>
      <c r="AA136" s="93">
        <v>0</v>
      </c>
      <c r="AB136" s="44">
        <f>+U136-W136</f>
        <v>39086755271</v>
      </c>
      <c r="AC136" s="48"/>
      <c r="AD136" s="47"/>
      <c r="AE136" s="67">
        <f>+U136-W136</f>
        <v>39086755271</v>
      </c>
      <c r="AF136" s="47"/>
      <c r="AG136" s="68"/>
      <c r="AH136" s="45"/>
      <c r="AI136" s="45"/>
      <c r="AJ136" s="45"/>
      <c r="AK136" s="45"/>
      <c r="AL136" s="45"/>
      <c r="AM136" s="45"/>
      <c r="AN136" s="46"/>
      <c r="AO136" s="144"/>
      <c r="AP136" s="144"/>
      <c r="AQ136" s="144"/>
      <c r="AR136" s="47"/>
      <c r="AS136" s="46"/>
      <c r="AT136" s="46"/>
      <c r="AU136" s="46"/>
      <c r="AV136" s="47"/>
      <c r="AW136" s="47"/>
    </row>
    <row r="137" spans="4:49" ht="15" x14ac:dyDescent="0.2">
      <c r="D137" s="38">
        <f>+D136+0.1</f>
        <v>34.200000000000003</v>
      </c>
      <c r="E137" s="39" t="s">
        <v>226</v>
      </c>
      <c r="F137" s="40">
        <v>901619463</v>
      </c>
      <c r="G137" s="41">
        <v>0.33</v>
      </c>
      <c r="H137" s="42"/>
      <c r="I137" s="42"/>
      <c r="J137" s="42"/>
      <c r="K137" s="42"/>
      <c r="L137" s="42"/>
      <c r="M137" s="66"/>
      <c r="N137" s="42"/>
      <c r="O137" s="42"/>
      <c r="P137" s="43">
        <v>46080</v>
      </c>
      <c r="Q137" s="43">
        <v>45772</v>
      </c>
      <c r="R137" s="38" t="str">
        <f>IF((NETWORKDAYS(Q137,P137)-1)&gt;=10,"CUMPLE","NO CUMPLE")</f>
        <v>CUMPLE</v>
      </c>
      <c r="S137" s="38" t="str">
        <f>IF(('[3]DATOS INICIALES'!$C$4-P137)&lt;30,"CUMPLE","NO CUMPLE")</f>
        <v>CUMPLE</v>
      </c>
      <c r="T137" s="38" t="str">
        <f t="shared" si="19"/>
        <v>CUMPLE</v>
      </c>
      <c r="U137" s="154">
        <v>775132819</v>
      </c>
      <c r="V137" s="154">
        <v>775898819</v>
      </c>
      <c r="W137" s="154">
        <v>77498765</v>
      </c>
      <c r="X137" s="154">
        <v>77498765</v>
      </c>
      <c r="Y137" s="154">
        <v>698400054</v>
      </c>
      <c r="Z137" s="154">
        <v>139544477</v>
      </c>
      <c r="AA137" s="154">
        <v>0</v>
      </c>
      <c r="AB137" s="44">
        <f>+U137-W137</f>
        <v>697634054</v>
      </c>
      <c r="AC137" s="48"/>
      <c r="AD137" s="47"/>
      <c r="AE137" s="67">
        <f>+U137-W137</f>
        <v>697634054</v>
      </c>
      <c r="AF137" s="47"/>
      <c r="AG137" s="68"/>
      <c r="AH137" s="45"/>
      <c r="AI137" s="45"/>
      <c r="AJ137" s="45"/>
      <c r="AK137" s="45"/>
      <c r="AL137" s="45"/>
      <c r="AM137" s="45"/>
      <c r="AN137" s="46"/>
      <c r="AO137" s="144"/>
      <c r="AP137" s="144"/>
      <c r="AQ137" s="144"/>
      <c r="AR137" s="47"/>
      <c r="AS137" s="46"/>
      <c r="AT137" s="46"/>
      <c r="AU137" s="46"/>
      <c r="AV137" s="47"/>
      <c r="AW137" s="47"/>
    </row>
    <row r="138" spans="4:49" ht="15" x14ac:dyDescent="0.2">
      <c r="D138" s="38">
        <f>+D137+0.1</f>
        <v>34.300000000000004</v>
      </c>
      <c r="E138" s="39" t="s">
        <v>227</v>
      </c>
      <c r="F138" s="40">
        <v>830512449</v>
      </c>
      <c r="G138" s="41">
        <v>0.33</v>
      </c>
      <c r="H138" s="42"/>
      <c r="I138" s="42"/>
      <c r="J138" s="42"/>
      <c r="K138" s="42"/>
      <c r="L138" s="42"/>
      <c r="M138" s="66"/>
      <c r="N138" s="42"/>
      <c r="O138" s="42"/>
      <c r="P138" s="43">
        <v>46086</v>
      </c>
      <c r="Q138" s="43">
        <v>45771</v>
      </c>
      <c r="R138" s="38" t="str">
        <f>IF((NETWORKDAYS(Q138,P138)-1)&gt;=10,"CUMPLE","NO CUMPLE")</f>
        <v>CUMPLE</v>
      </c>
      <c r="S138" s="38" t="str">
        <f>IF(('[3]DATOS INICIALES'!$C$4-P138)&lt;30,"CUMPLE","NO CUMPLE")</f>
        <v>CUMPLE</v>
      </c>
      <c r="T138" s="38" t="str">
        <f t="shared" si="19"/>
        <v>CUMPLE</v>
      </c>
      <c r="U138" s="93">
        <v>53650206188</v>
      </c>
      <c r="V138" s="93">
        <v>111409316034</v>
      </c>
      <c r="W138" s="93">
        <v>36720793181</v>
      </c>
      <c r="X138" s="93">
        <v>57680557252</v>
      </c>
      <c r="Y138" s="93">
        <v>53728758782</v>
      </c>
      <c r="Z138" s="93">
        <v>6424152503</v>
      </c>
      <c r="AA138" s="93">
        <v>1990932181</v>
      </c>
      <c r="AB138" s="44">
        <f>+U138-W138</f>
        <v>16929413007</v>
      </c>
      <c r="AC138" s="48"/>
      <c r="AD138" s="47"/>
      <c r="AE138" s="67">
        <f>+U138-W138</f>
        <v>16929413007</v>
      </c>
      <c r="AF138" s="47"/>
      <c r="AG138" s="68"/>
      <c r="AH138" s="45"/>
      <c r="AI138" s="45"/>
      <c r="AJ138" s="45"/>
      <c r="AK138" s="45"/>
      <c r="AL138" s="45"/>
      <c r="AM138" s="45"/>
      <c r="AN138" s="46"/>
      <c r="AO138" s="144"/>
      <c r="AP138" s="144"/>
      <c r="AQ138" s="144"/>
      <c r="AR138" s="47"/>
      <c r="AS138" s="46"/>
      <c r="AT138" s="46"/>
      <c r="AU138" s="46"/>
      <c r="AV138" s="47"/>
      <c r="AW138" s="47"/>
    </row>
    <row r="139" spans="4:49" ht="210" x14ac:dyDescent="0.15">
      <c r="D139" s="62">
        <v>35</v>
      </c>
      <c r="E139" s="63" t="str">
        <f>IF(D139="","",VLOOKUP(D139,'[3]DATOS INICIALES'!$B$10:$D$69,2,0))</f>
        <v>CONSORCIO STC CORREDOR EP</v>
      </c>
      <c r="F139" s="64">
        <f>IF(D139="","",VLOOKUP(D139,'[3]DATOS INICIALES'!$B$10:$D$69,3,0))</f>
        <v>0</v>
      </c>
      <c r="G139" s="65">
        <f>SUM(G140:G142)</f>
        <v>1</v>
      </c>
      <c r="H139" s="64"/>
      <c r="I139" s="30" t="s">
        <v>55</v>
      </c>
      <c r="J139" s="30" t="str">
        <f>IF(I139="SI","CUMPLE", "NO CUMPLE")</f>
        <v>CUMPLE</v>
      </c>
      <c r="K139" s="30" t="s">
        <v>55</v>
      </c>
      <c r="L139" s="30" t="str">
        <f>IF(K139="SI","CUMPLE", "NO CUMPLE")</f>
        <v>CUMPLE</v>
      </c>
      <c r="M139" s="51">
        <f>+IFERROR(VLOOKUP(D139,'[3]DATOS INICIALES'!$B$10:$G$100,6,0),0)</f>
        <v>69476900000</v>
      </c>
      <c r="N139" s="30" t="str">
        <f>IF(M139&lt;='[3]DATOS INICIALES'!$C$6,"CUMPLE","NO CUMPLE")</f>
        <v>CUMPLE</v>
      </c>
      <c r="O139" s="30" t="str">
        <f>IF(AND(J139="CUMPLE",L139="CUMPLE",N139="CUMPLE"),"CUMPLE","NO CUMPLE")</f>
        <v>CUMPLE</v>
      </c>
      <c r="P139" s="31"/>
      <c r="Q139" s="31"/>
      <c r="R139" s="32" t="str">
        <f>IF(AND(R140="CUMPLE",R141="CUMPLE",R142="CUMPLE"),"CUMPLE","NO CUMPLE")</f>
        <v>CUMPLE</v>
      </c>
      <c r="S139" s="32" t="str">
        <f>IF(AND(S140="CUMPLE",S141="CUMPLE",S142="CUMPLE"),"CUMPLE","NO CUMPLE")</f>
        <v>CUMPLE</v>
      </c>
      <c r="T139" s="32" t="str">
        <f t="shared" si="19"/>
        <v>CUMPLE</v>
      </c>
      <c r="U139" s="155">
        <f t="shared" ref="U139:AB139" si="36">+(U140*$G140)+(U141*$G141)+(U142*$G142)</f>
        <v>13096837436.924999</v>
      </c>
      <c r="V139" s="155">
        <f t="shared" si="36"/>
        <v>17356406127.350002</v>
      </c>
      <c r="W139" s="155">
        <f t="shared" si="36"/>
        <v>7355212308</v>
      </c>
      <c r="X139" s="155">
        <f t="shared" si="36"/>
        <v>8758035895.0499992</v>
      </c>
      <c r="Y139" s="155">
        <f t="shared" si="36"/>
        <v>8598370232.2999992</v>
      </c>
      <c r="Z139" s="155">
        <f t="shared" si="36"/>
        <v>9194967903.3500004</v>
      </c>
      <c r="AA139" s="155">
        <f t="shared" si="36"/>
        <v>409755772.75</v>
      </c>
      <c r="AB139" s="34">
        <f t="shared" si="36"/>
        <v>5741625128.9250002</v>
      </c>
      <c r="AC139" s="34"/>
      <c r="AD139" s="32" t="str">
        <f>IF(AB139&gt;=$AD$13,"CUMPLE","NO CUMPLE")</f>
        <v>NO CUMPLE</v>
      </c>
      <c r="AE139" s="75">
        <f>+MAX(AE140:AE142)</f>
        <v>9830556420</v>
      </c>
      <c r="AF139" s="32"/>
      <c r="AG139" s="32" t="str">
        <f>+IF(AE139&gt;=$AG$13,"CUMPLE","NO CUMPLE")</f>
        <v>CUMPLE</v>
      </c>
      <c r="AH139" s="32">
        <f>IF(E139="","",(IF(W139=0,"INDETERMINADO",+U139/W139)))</f>
        <v>1.7806199044288689</v>
      </c>
      <c r="AI139" s="32" t="str">
        <f>IF(OR(AH139="",AH139&lt;$AI$13),"NO CUMPLE","CUMPLE")</f>
        <v>CUMPLE</v>
      </c>
      <c r="AJ139" s="32">
        <f>IF(U140="","",+X139/V139)</f>
        <v>0.50459961761606853</v>
      </c>
      <c r="AK139" s="32" t="str">
        <f>IF(OR(AJ139="",AJ139&gt;$AK$13),"NO CUMPLE","CUMPLE")</f>
        <v>CUMPLE</v>
      </c>
      <c r="AL139" s="32">
        <f>IF(AA139=0,"INDET",(IF(U140="","",Z139/AA139)))</f>
        <v>22.440118028453085</v>
      </c>
      <c r="AM139" s="32" t="str">
        <f>IF(OR(AL139="",AL139&lt;$AM$13),"NO CUMPLE","CUMPLE")</f>
        <v>CUMPLE</v>
      </c>
      <c r="AN139" s="32" t="str">
        <f>IF(AND(AG139="CUMPLE",AI139="CUMPLE",AK139="CUMPLE",AM139="CUMPLE",AD139="CUMPLE"),"CUMPLE","NO CUMPLE")</f>
        <v>NO CUMPLE</v>
      </c>
      <c r="AO139" s="142">
        <f>IF(U140="","",+Z139/Y139)</f>
        <v>1.0693849712133663</v>
      </c>
      <c r="AP139" s="143" t="str">
        <f>IF(OR(AO139="",AO139&lt;$AP$13),"NO CUMPLE","CUMPLE")</f>
        <v>CUMPLE</v>
      </c>
      <c r="AQ139" s="142">
        <f>IF(U140="","",+Z139/V139)</f>
        <v>0.52977372365473108</v>
      </c>
      <c r="AR139" s="36" t="str">
        <f>IF(OR(AQ139="",AQ139&lt;$AR$13),"NO CUMPLE","CUMPLE")</f>
        <v>CUMPLE</v>
      </c>
      <c r="AS139" s="36" t="str">
        <f>IF(U140="","",IF(AND(AP139="CUMPLE",AR139="CUMPLE"),"CUMPLE","NO CUMPLE"))</f>
        <v>CUMPLE</v>
      </c>
      <c r="AT139" s="36" t="s">
        <v>58</v>
      </c>
      <c r="AU139" s="32" t="str">
        <f>IF(U140="","",IF(AND(O139="CUMPLE",AS139="CUMPLE",AN139="CUMPLE",T139="CUMPLE",AT139="CUMPLE"),"CUMPLE","NO CUMPLE"))</f>
        <v>NO CUMPLE</v>
      </c>
      <c r="AV139" s="146" t="s">
        <v>228</v>
      </c>
      <c r="AW139" s="37"/>
    </row>
    <row r="140" spans="4:49" ht="15" x14ac:dyDescent="0.2">
      <c r="D140" s="38">
        <f>+D139+0.1</f>
        <v>35.1</v>
      </c>
      <c r="E140" s="39" t="s">
        <v>229</v>
      </c>
      <c r="F140" s="40">
        <v>800064761</v>
      </c>
      <c r="G140" s="156">
        <v>0.42499999999999999</v>
      </c>
      <c r="H140" s="42"/>
      <c r="I140" s="42"/>
      <c r="J140" s="42"/>
      <c r="K140" s="42"/>
      <c r="L140" s="42"/>
      <c r="M140" s="66"/>
      <c r="N140" s="42"/>
      <c r="O140" s="42"/>
      <c r="P140" s="43">
        <v>46087</v>
      </c>
      <c r="Q140" s="43">
        <v>45754</v>
      </c>
      <c r="R140" s="38" t="str">
        <f>IF((NETWORKDAYS(Q140,P140)-1)&gt;=10,"CUMPLE","NO CUMPLE")</f>
        <v>CUMPLE</v>
      </c>
      <c r="S140" s="38" t="str">
        <f>IF(('[3]DATOS INICIALES'!$C$4-P140)&lt;30,"CUMPLE","NO CUMPLE")</f>
        <v>CUMPLE</v>
      </c>
      <c r="T140" s="38" t="str">
        <f t="shared" si="19"/>
        <v>CUMPLE</v>
      </c>
      <c r="U140" s="93">
        <v>4373374229</v>
      </c>
      <c r="V140" s="93">
        <v>4592436739</v>
      </c>
      <c r="W140" s="93">
        <v>845944664</v>
      </c>
      <c r="X140" s="93">
        <v>1063168098</v>
      </c>
      <c r="Y140" s="93">
        <v>3529268641</v>
      </c>
      <c r="Z140" s="93">
        <v>599517718</v>
      </c>
      <c r="AA140" s="93">
        <v>865769</v>
      </c>
      <c r="AB140" s="44">
        <f>+U140-W140</f>
        <v>3527429565</v>
      </c>
      <c r="AC140" s="48"/>
      <c r="AD140" s="47"/>
      <c r="AE140" s="67">
        <f>+U140-W140</f>
        <v>3527429565</v>
      </c>
      <c r="AF140" s="47"/>
      <c r="AG140" s="68"/>
      <c r="AH140" s="45"/>
      <c r="AI140" s="45"/>
      <c r="AJ140" s="45"/>
      <c r="AK140" s="45"/>
      <c r="AL140" s="45"/>
      <c r="AM140" s="45"/>
      <c r="AN140" s="46"/>
      <c r="AO140" s="144"/>
      <c r="AP140" s="144"/>
      <c r="AQ140" s="144"/>
      <c r="AR140" s="47"/>
      <c r="AS140" s="46"/>
      <c r="AT140" s="46"/>
      <c r="AU140" s="46"/>
      <c r="AV140" s="47"/>
      <c r="AW140" s="47"/>
    </row>
    <row r="141" spans="4:49" ht="15" x14ac:dyDescent="0.2">
      <c r="D141" s="38">
        <f>+D140+0.1</f>
        <v>35.200000000000003</v>
      </c>
      <c r="E141" s="39" t="s">
        <v>230</v>
      </c>
      <c r="F141" s="40">
        <v>900636311</v>
      </c>
      <c r="G141" s="156">
        <v>0.42499999999999999</v>
      </c>
      <c r="H141" s="42"/>
      <c r="I141" s="42"/>
      <c r="J141" s="42"/>
      <c r="K141" s="42"/>
      <c r="L141" s="42"/>
      <c r="M141" s="66"/>
      <c r="N141" s="42"/>
      <c r="O141" s="42"/>
      <c r="P141" s="43">
        <v>46077</v>
      </c>
      <c r="Q141" s="43">
        <v>45737</v>
      </c>
      <c r="R141" s="38" t="str">
        <f>IF((NETWORKDAYS(Q141,P141)-1)&gt;=10,"CUMPLE","NO CUMPLE")</f>
        <v>CUMPLE</v>
      </c>
      <c r="S141" s="38" t="str">
        <f>IF(('[3]DATOS INICIALES'!$C$4-P141)&lt;30,"CUMPLE","NO CUMPLE")</f>
        <v>CUMPLE</v>
      </c>
      <c r="T141" s="38" t="str">
        <f t="shared" si="19"/>
        <v>CUMPLE</v>
      </c>
      <c r="U141" s="93">
        <v>26215698124</v>
      </c>
      <c r="V141" s="93">
        <v>34721820807</v>
      </c>
      <c r="W141" s="93">
        <v>16385141704</v>
      </c>
      <c r="X141" s="93">
        <v>19405443960</v>
      </c>
      <c r="Y141" s="93">
        <v>15316376847</v>
      </c>
      <c r="Z141" s="93">
        <v>20933886612</v>
      </c>
      <c r="AA141" s="93">
        <v>963265461</v>
      </c>
      <c r="AB141" s="44">
        <f>+U141-W141</f>
        <v>9830556420</v>
      </c>
      <c r="AC141" s="48"/>
      <c r="AD141" s="47"/>
      <c r="AE141" s="67">
        <f>+U141-W141</f>
        <v>9830556420</v>
      </c>
      <c r="AF141" s="47"/>
      <c r="AG141" s="68"/>
      <c r="AH141" s="45"/>
      <c r="AI141" s="45"/>
      <c r="AJ141" s="45"/>
      <c r="AK141" s="45"/>
      <c r="AL141" s="45"/>
      <c r="AM141" s="45"/>
      <c r="AN141" s="46"/>
      <c r="AO141" s="144"/>
      <c r="AP141" s="144"/>
      <c r="AQ141" s="144"/>
      <c r="AR141" s="47"/>
      <c r="AS141" s="46"/>
      <c r="AT141" s="46"/>
      <c r="AU141" s="46"/>
      <c r="AV141" s="47"/>
      <c r="AW141" s="47"/>
    </row>
    <row r="142" spans="4:49" ht="15" x14ac:dyDescent="0.2">
      <c r="D142" s="38">
        <f>+D141+0.1</f>
        <v>35.300000000000004</v>
      </c>
      <c r="E142" s="39" t="s">
        <v>231</v>
      </c>
      <c r="F142" s="40">
        <v>830011122</v>
      </c>
      <c r="G142" s="41">
        <v>0.15</v>
      </c>
      <c r="H142" s="42"/>
      <c r="I142" s="42"/>
      <c r="J142" s="42"/>
      <c r="K142" s="42"/>
      <c r="L142" s="42"/>
      <c r="M142" s="66"/>
      <c r="N142" s="42"/>
      <c r="O142" s="42"/>
      <c r="P142" s="43">
        <v>46087</v>
      </c>
      <c r="Q142" s="43">
        <v>45754</v>
      </c>
      <c r="R142" s="38" t="str">
        <f>IF((NETWORKDAYS(Q142,P142)-1)&gt;=10,"CUMPLE","NO CUMPLE")</f>
        <v>CUMPLE</v>
      </c>
      <c r="S142" s="38" t="str">
        <f>IF(('[3]DATOS INICIALES'!$C$4-P142)&lt;30,"CUMPLE","NO CUMPLE")</f>
        <v>CUMPLE</v>
      </c>
      <c r="T142" s="38" t="str">
        <f t="shared" si="19"/>
        <v>CUMPLE</v>
      </c>
      <c r="U142" s="154">
        <v>643211246</v>
      </c>
      <c r="V142" s="154">
        <v>4318977802</v>
      </c>
      <c r="W142" s="154">
        <v>213337344</v>
      </c>
      <c r="X142" s="154">
        <v>392505136</v>
      </c>
      <c r="Y142" s="154">
        <v>3926472666</v>
      </c>
      <c r="Z142" s="154">
        <v>288473754</v>
      </c>
      <c r="AA142" s="154">
        <v>0</v>
      </c>
      <c r="AB142" s="44">
        <f>+U142-W142</f>
        <v>429873902</v>
      </c>
      <c r="AC142" s="48"/>
      <c r="AD142" s="47"/>
      <c r="AE142" s="67">
        <f>+U142-W142</f>
        <v>429873902</v>
      </c>
      <c r="AF142" s="47"/>
      <c r="AG142" s="68"/>
      <c r="AH142" s="45"/>
      <c r="AI142" s="45"/>
      <c r="AJ142" s="45"/>
      <c r="AK142" s="45"/>
      <c r="AL142" s="45"/>
      <c r="AM142" s="45"/>
      <c r="AN142" s="46"/>
      <c r="AO142" s="144"/>
      <c r="AP142" s="144"/>
      <c r="AQ142" s="144"/>
      <c r="AR142" s="47"/>
      <c r="AS142" s="46"/>
      <c r="AT142" s="46"/>
      <c r="AU142" s="46"/>
      <c r="AV142" s="47"/>
      <c r="AW142" s="47"/>
    </row>
    <row r="143" spans="4:49" ht="15" x14ac:dyDescent="0.15">
      <c r="D143" s="62">
        <v>36</v>
      </c>
      <c r="E143" s="63" t="str">
        <f>IF(D143="","",VLOOKUP(D143,'[3]DATOS INICIALES'!$B$10:$D$69,2,0))</f>
        <v>CONSORCIO INTERVENTORES PED ESTANQUILLO</v>
      </c>
      <c r="F143" s="64">
        <f>IF(D143="","",VLOOKUP(D143,'[3]DATOS INICIALES'!$B$10:$D$69,3,0))</f>
        <v>0</v>
      </c>
      <c r="G143" s="65">
        <f>SUM(G144:G146)</f>
        <v>1</v>
      </c>
      <c r="H143" s="64"/>
      <c r="I143" s="30" t="s">
        <v>55</v>
      </c>
      <c r="J143" s="30" t="str">
        <f>IF(I143="SI","CUMPLE", "NO CUMPLE")</f>
        <v>CUMPLE</v>
      </c>
      <c r="K143" s="30" t="s">
        <v>55</v>
      </c>
      <c r="L143" s="30" t="str">
        <f>IF(K143="SI","CUMPLE", "NO CUMPLE")</f>
        <v>CUMPLE</v>
      </c>
      <c r="M143" s="51">
        <f>+IFERROR(VLOOKUP(D143,'[3]DATOS INICIALES'!$B$10:$G$100,6,0),0)</f>
        <v>69477143896</v>
      </c>
      <c r="N143" s="30" t="str">
        <f>IF(M143&lt;='[3]DATOS INICIALES'!$C$6,"CUMPLE","NO CUMPLE")</f>
        <v>CUMPLE</v>
      </c>
      <c r="O143" s="30" t="str">
        <f>IF(AND(J143="CUMPLE",L143="CUMPLE",N143="CUMPLE"),"CUMPLE","NO CUMPLE")</f>
        <v>CUMPLE</v>
      </c>
      <c r="P143" s="31"/>
      <c r="Q143" s="31"/>
      <c r="R143" s="32" t="str">
        <f>IF(AND(R144="CUMPLE",R145="CUMPLE",R146="CUMPLE"),"CUMPLE","NO CUMPLE")</f>
        <v>CUMPLE</v>
      </c>
      <c r="S143" s="32" t="str">
        <f>IF(AND(S144="CUMPLE",S145="CUMPLE",S146="CUMPLE"),"CUMPLE","NO CUMPLE")</f>
        <v>CUMPLE</v>
      </c>
      <c r="T143" s="32" t="str">
        <f t="shared" si="19"/>
        <v>CUMPLE</v>
      </c>
      <c r="U143" s="155">
        <f t="shared" ref="U143:AB143" si="37">+(U144*$G144)+(U145*$G145)+(U146*$G146)</f>
        <v>17668994628.380001</v>
      </c>
      <c r="V143" s="155">
        <f t="shared" si="37"/>
        <v>18005366976.100002</v>
      </c>
      <c r="W143" s="155">
        <f t="shared" si="37"/>
        <v>6529780596.4000006</v>
      </c>
      <c r="X143" s="155">
        <f t="shared" si="37"/>
        <v>7700903869.1600008</v>
      </c>
      <c r="Y143" s="155">
        <f t="shared" si="37"/>
        <v>10304463107.280003</v>
      </c>
      <c r="Z143" s="155">
        <f t="shared" si="37"/>
        <v>1418852700.1800001</v>
      </c>
      <c r="AA143" s="155">
        <f t="shared" si="37"/>
        <v>170348347.00000003</v>
      </c>
      <c r="AB143" s="34">
        <f t="shared" si="37"/>
        <v>11139214031.980001</v>
      </c>
      <c r="AC143" s="34"/>
      <c r="AD143" s="32" t="str">
        <f>IF(AB143&gt;=$AD$13,"CUMPLE","NO CUMPLE")</f>
        <v>CUMPLE</v>
      </c>
      <c r="AE143" s="75">
        <f>+MAX(AE144:AE146)</f>
        <v>31169030821</v>
      </c>
      <c r="AF143" s="32"/>
      <c r="AG143" s="32" t="str">
        <f>+IF(AE143&gt;=$AG$13,"CUMPLE","NO CUMPLE")</f>
        <v>CUMPLE</v>
      </c>
      <c r="AH143" s="32">
        <f>IF(E143="","",(IF(W143=0,"INDETERMINADO",+U143/W143)))</f>
        <v>2.7059093896847428</v>
      </c>
      <c r="AI143" s="32" t="str">
        <f>IF(OR(AH143="",AH143&lt;$AI$13),"NO CUMPLE","CUMPLE")</f>
        <v>CUMPLE</v>
      </c>
      <c r="AJ143" s="32">
        <f>IF(U144="","",+X143/V143)</f>
        <v>0.4277004672763427</v>
      </c>
      <c r="AK143" s="32" t="str">
        <f>IF(OR(AJ143="",AJ143&gt;$AK$13),"NO CUMPLE","CUMPLE")</f>
        <v>CUMPLE</v>
      </c>
      <c r="AL143" s="32">
        <f>IF(AA143=0,"INDET",(IF(U144="","",Z143/AA143)))</f>
        <v>8.329125143668108</v>
      </c>
      <c r="AM143" s="32" t="str">
        <f>IF(OR(AL143="",AL143&lt;$AM$13),"NO CUMPLE","CUMPLE")</f>
        <v>CUMPLE</v>
      </c>
      <c r="AN143" s="32" t="str">
        <f>IF(AND(AG143="CUMPLE",AI143="CUMPLE",AK143="CUMPLE",AM143="CUMPLE",AD143="CUMPLE"),"CUMPLE","NO CUMPLE")</f>
        <v>CUMPLE</v>
      </c>
      <c r="AO143" s="142">
        <f>IF(U144="","",+Z143/Y143)</f>
        <v>0.13769302538213704</v>
      </c>
      <c r="AP143" s="143" t="str">
        <f>IF(OR(AO143="",AO143&lt;$AP$13),"NO CUMPLE","CUMPLE")</f>
        <v>CUMPLE</v>
      </c>
      <c r="AQ143" s="142">
        <f>IF(U144="","",+Z143/V143)</f>
        <v>7.8801654088103815E-2</v>
      </c>
      <c r="AR143" s="36" t="str">
        <f>IF(OR(AQ143="",AQ143&lt;$AR$13),"NO CUMPLE","CUMPLE")</f>
        <v>CUMPLE</v>
      </c>
      <c r="AS143" s="36" t="str">
        <f>IF(U144="","",IF(AND(AP143="CUMPLE",AR143="CUMPLE"),"CUMPLE","NO CUMPLE"))</f>
        <v>CUMPLE</v>
      </c>
      <c r="AT143" s="36" t="s">
        <v>58</v>
      </c>
      <c r="AU143" s="32" t="str">
        <f>IF(U144="","",IF(AND(O143="CUMPLE",AS143="CUMPLE",AN143="CUMPLE",T143="CUMPLE",AT143="CUMPLE"),"CUMPLE","NO CUMPLE"))</f>
        <v>CUMPLE</v>
      </c>
      <c r="AV143" s="37"/>
      <c r="AW143" s="37"/>
    </row>
    <row r="144" spans="4:49" ht="15" x14ac:dyDescent="0.2">
      <c r="D144" s="38">
        <f>+D143+0.1</f>
        <v>36.1</v>
      </c>
      <c r="E144" s="39" t="s">
        <v>232</v>
      </c>
      <c r="F144" s="40">
        <v>900593077</v>
      </c>
      <c r="G144" s="41">
        <v>0.34</v>
      </c>
      <c r="H144" s="42"/>
      <c r="I144" s="42"/>
      <c r="J144" s="42"/>
      <c r="K144" s="42"/>
      <c r="L144" s="42"/>
      <c r="M144" s="66"/>
      <c r="N144" s="42"/>
      <c r="O144" s="42"/>
      <c r="P144" s="43">
        <v>46086</v>
      </c>
      <c r="Q144" s="43">
        <v>45786</v>
      </c>
      <c r="R144" s="38" t="str">
        <f>IF((NETWORKDAYS(Q144,P144)-1)&gt;=10,"CUMPLE","NO CUMPLE")</f>
        <v>CUMPLE</v>
      </c>
      <c r="S144" s="38" t="str">
        <f>IF(('[3]DATOS INICIALES'!$C$4-P144)&lt;30,"CUMPLE","NO CUMPLE")</f>
        <v>CUMPLE</v>
      </c>
      <c r="T144" s="38" t="str">
        <f t="shared" ref="T144:T164" si="38">IF(AND(R144="CUMPLE",S144="CUMPLE"),"CUMPLE","NO CUMPLE")</f>
        <v>CUMPLE</v>
      </c>
      <c r="U144" s="93">
        <v>49453663387</v>
      </c>
      <c r="V144" s="93">
        <v>50395428645</v>
      </c>
      <c r="W144" s="93">
        <v>18284632566</v>
      </c>
      <c r="X144" s="93">
        <v>21283472623</v>
      </c>
      <c r="Y144" s="93">
        <v>29111956023</v>
      </c>
      <c r="Z144" s="93">
        <v>3647116754</v>
      </c>
      <c r="AA144" s="93">
        <v>493503840</v>
      </c>
      <c r="AB144" s="44">
        <f>+U144-W144</f>
        <v>31169030821</v>
      </c>
      <c r="AC144" s="48"/>
      <c r="AD144" s="47"/>
      <c r="AE144" s="67">
        <f>+U144-W144</f>
        <v>31169030821</v>
      </c>
      <c r="AF144" s="47"/>
      <c r="AG144" s="68"/>
      <c r="AH144" s="45"/>
      <c r="AI144" s="45"/>
      <c r="AJ144" s="45"/>
      <c r="AK144" s="45"/>
      <c r="AL144" s="45"/>
      <c r="AM144" s="45"/>
      <c r="AN144" s="46"/>
      <c r="AO144" s="144"/>
      <c r="AP144" s="144"/>
      <c r="AQ144" s="144"/>
      <c r="AR144" s="47"/>
      <c r="AS144" s="46"/>
      <c r="AT144" s="46"/>
      <c r="AU144" s="46"/>
      <c r="AV144" s="47"/>
      <c r="AW144" s="47"/>
    </row>
    <row r="145" spans="4:49" ht="15" x14ac:dyDescent="0.2">
      <c r="D145" s="38">
        <f>+D144+0.1</f>
        <v>36.200000000000003</v>
      </c>
      <c r="E145" s="39" t="s">
        <v>233</v>
      </c>
      <c r="F145" s="40">
        <v>901474506</v>
      </c>
      <c r="G145" s="41">
        <v>0.34</v>
      </c>
      <c r="H145" s="42"/>
      <c r="I145" s="42"/>
      <c r="J145" s="42"/>
      <c r="K145" s="42"/>
      <c r="L145" s="42"/>
      <c r="M145" s="66"/>
      <c r="N145" s="42"/>
      <c r="O145" s="42"/>
      <c r="P145" s="43">
        <v>46083</v>
      </c>
      <c r="Q145" s="43">
        <v>45785</v>
      </c>
      <c r="R145" s="38" t="str">
        <f>IF((NETWORKDAYS(Q145,P145)-1)&gt;=10,"CUMPLE","NO CUMPLE")</f>
        <v>CUMPLE</v>
      </c>
      <c r="S145" s="38" t="str">
        <f>IF(('[3]DATOS INICIALES'!$C$4-P145)&lt;30,"CUMPLE","NO CUMPLE")</f>
        <v>CUMPLE</v>
      </c>
      <c r="T145" s="38" t="str">
        <f t="shared" si="38"/>
        <v>CUMPLE</v>
      </c>
      <c r="U145" s="93">
        <v>2274133520</v>
      </c>
      <c r="V145" s="93">
        <v>2274133520</v>
      </c>
      <c r="W145" s="93">
        <v>915557894</v>
      </c>
      <c r="X145" s="93">
        <v>1361198051</v>
      </c>
      <c r="Y145" s="93">
        <v>912935469</v>
      </c>
      <c r="Z145" s="93">
        <v>525979423</v>
      </c>
      <c r="AA145" s="154">
        <v>7520710</v>
      </c>
      <c r="AB145" s="44">
        <f>+U145-W145</f>
        <v>1358575626</v>
      </c>
      <c r="AC145" s="48"/>
      <c r="AD145" s="47"/>
      <c r="AE145" s="67">
        <f>+U145-W145</f>
        <v>1358575626</v>
      </c>
      <c r="AF145" s="47"/>
      <c r="AG145" s="68"/>
      <c r="AH145" s="45"/>
      <c r="AI145" s="45"/>
      <c r="AJ145" s="45"/>
      <c r="AK145" s="45"/>
      <c r="AL145" s="45"/>
      <c r="AM145" s="45"/>
      <c r="AN145" s="46"/>
      <c r="AO145" s="144"/>
      <c r="AP145" s="144"/>
      <c r="AQ145" s="144"/>
      <c r="AR145" s="47"/>
      <c r="AS145" s="46"/>
      <c r="AT145" s="46"/>
      <c r="AU145" s="46"/>
      <c r="AV145" s="47"/>
      <c r="AW145" s="47"/>
    </row>
    <row r="146" spans="4:49" ht="15" x14ac:dyDescent="0.2">
      <c r="D146" s="38">
        <f>+D145+0.1</f>
        <v>36.300000000000004</v>
      </c>
      <c r="E146" s="39" t="s">
        <v>234</v>
      </c>
      <c r="F146" s="40">
        <v>901743392</v>
      </c>
      <c r="G146" s="41">
        <v>0.32</v>
      </c>
      <c r="H146" s="42"/>
      <c r="I146" s="42"/>
      <c r="J146" s="42"/>
      <c r="K146" s="42"/>
      <c r="L146" s="42"/>
      <c r="M146" s="66"/>
      <c r="N146" s="42"/>
      <c r="O146" s="42"/>
      <c r="P146" s="43">
        <v>46076</v>
      </c>
      <c r="Q146" s="43">
        <v>45784</v>
      </c>
      <c r="R146" s="38" t="str">
        <f>IF((NETWORKDAYS(Q146,P146)-1)&gt;=10,"CUMPLE","NO CUMPLE")</f>
        <v>CUMPLE</v>
      </c>
      <c r="S146" s="38" t="str">
        <f>IF(('[3]DATOS INICIALES'!$C$4-P146)&lt;30,"CUMPLE","NO CUMPLE")</f>
        <v>CUMPLE</v>
      </c>
      <c r="T146" s="38" t="str">
        <f t="shared" si="38"/>
        <v>CUMPLE</v>
      </c>
      <c r="U146" s="154">
        <v>254824000</v>
      </c>
      <c r="V146" s="154">
        <v>305362000</v>
      </c>
      <c r="W146" s="154">
        <v>5362000</v>
      </c>
      <c r="X146" s="154">
        <v>5362000</v>
      </c>
      <c r="Y146" s="154">
        <v>300000000</v>
      </c>
      <c r="Z146" s="154">
        <v>0</v>
      </c>
      <c r="AA146" s="47"/>
      <c r="AB146" s="44">
        <f>+U146-W146</f>
        <v>249462000</v>
      </c>
      <c r="AC146" s="48"/>
      <c r="AD146" s="47"/>
      <c r="AE146" s="67">
        <f>+U146-W146</f>
        <v>249462000</v>
      </c>
      <c r="AF146" s="47"/>
      <c r="AG146" s="68"/>
      <c r="AH146" s="45"/>
      <c r="AI146" s="45"/>
      <c r="AJ146" s="45"/>
      <c r="AK146" s="45"/>
      <c r="AL146" s="45"/>
      <c r="AM146" s="45"/>
      <c r="AN146" s="46"/>
      <c r="AO146" s="144"/>
      <c r="AP146" s="144"/>
      <c r="AQ146" s="144"/>
      <c r="AR146" s="47"/>
      <c r="AS146" s="46"/>
      <c r="AT146" s="46"/>
      <c r="AU146" s="46"/>
      <c r="AV146" s="47"/>
      <c r="AW146" s="47"/>
    </row>
    <row r="147" spans="4:49" ht="15" x14ac:dyDescent="0.15">
      <c r="D147" s="62">
        <v>37</v>
      </c>
      <c r="E147" s="63" t="str">
        <f>IF(D147="","",VLOOKUP(D147,'[3]DATOS INICIALES'!$B$10:$D$69,2,0))</f>
        <v>CONSORCIO POPAYÁN AR</v>
      </c>
      <c r="F147" s="64">
        <f>IF(D147="","",VLOOKUP(D147,'[3]DATOS INICIALES'!$B$10:$D$69,3,0))</f>
        <v>0</v>
      </c>
      <c r="G147" s="65">
        <f>SUM(G148:G151)</f>
        <v>1</v>
      </c>
      <c r="H147" s="64"/>
      <c r="I147" s="30" t="s">
        <v>55</v>
      </c>
      <c r="J147" s="30" t="str">
        <f>IF(I147="SI","CUMPLE", "NO CUMPLE")</f>
        <v>CUMPLE</v>
      </c>
      <c r="K147" s="30" t="s">
        <v>55</v>
      </c>
      <c r="L147" s="30" t="str">
        <f>IF(K147="SI","CUMPLE", "NO CUMPLE")</f>
        <v>CUMPLE</v>
      </c>
      <c r="M147" s="51">
        <f>+IFERROR(VLOOKUP(D147,'[3]DATOS INICIALES'!$B$10:$G$100,6,0),0)</f>
        <v>69477143896</v>
      </c>
      <c r="N147" s="30" t="str">
        <f>IF(M147&lt;='[3]DATOS INICIALES'!$C$6,"CUMPLE","NO CUMPLE")</f>
        <v>CUMPLE</v>
      </c>
      <c r="O147" s="30" t="str">
        <f>IF(AND(J147="CUMPLE",L147="CUMPLE",N147="CUMPLE"),"CUMPLE","NO CUMPLE")</f>
        <v>CUMPLE</v>
      </c>
      <c r="P147" s="31"/>
      <c r="Q147" s="31"/>
      <c r="R147" s="32" t="str">
        <f>IF(AND(R148="CUMPLE",R149="CUMPLE",R150="CUMPLE",R151="CUMPLE"),"CUMPLE","NO CUMPLE")</f>
        <v>CUMPLE</v>
      </c>
      <c r="S147" s="32" t="str">
        <f>IF(AND(S148="CUMPLE",S149="CUMPLE",S150="CUMPLE",S151="CUMPLE"),"CUMPLE","NO CUMPLE")</f>
        <v>CUMPLE</v>
      </c>
      <c r="T147" s="32" t="str">
        <f t="shared" si="38"/>
        <v>CUMPLE</v>
      </c>
      <c r="U147" s="155">
        <f t="shared" ref="U147:AB147" si="39">+(U148*$G148)+(U149*$G149)+(U150*$G150)+(U151*$G151)</f>
        <v>37114638950.599998</v>
      </c>
      <c r="V147" s="155">
        <f t="shared" si="39"/>
        <v>46545821854.100006</v>
      </c>
      <c r="W147" s="155">
        <f t="shared" si="39"/>
        <v>18780115948.500004</v>
      </c>
      <c r="X147" s="155">
        <f t="shared" si="39"/>
        <v>24526096082.100002</v>
      </c>
      <c r="Y147" s="155">
        <f t="shared" si="39"/>
        <v>22019725772.000004</v>
      </c>
      <c r="Z147" s="155">
        <f t="shared" si="39"/>
        <v>3912248468.8999996</v>
      </c>
      <c r="AA147" s="155">
        <f t="shared" si="39"/>
        <v>866076293.60000002</v>
      </c>
      <c r="AB147" s="34">
        <f t="shared" si="39"/>
        <v>18334523002.100002</v>
      </c>
      <c r="AC147" s="34"/>
      <c r="AD147" s="32" t="str">
        <f>IF(AB147&gt;=$AD$13,"CUMPLE","NO CUMPLE")</f>
        <v>CUMPLE</v>
      </c>
      <c r="AE147" s="75">
        <f>+MAX(AE148:AE151)</f>
        <v>32227391880</v>
      </c>
      <c r="AF147" s="32"/>
      <c r="AG147" s="32" t="str">
        <f>+IF(AE147&gt;=$AG$13,"CUMPLE","NO CUMPLE")</f>
        <v>CUMPLE</v>
      </c>
      <c r="AH147" s="32">
        <f>IF(E147="","",(IF(W147=0,"INDETERMINADO",+U147/W147)))</f>
        <v>1.9762731525395294</v>
      </c>
      <c r="AI147" s="32" t="str">
        <f>IF(OR(AH147="",AH147&lt;$AI$13),"NO CUMPLE","CUMPLE")</f>
        <v>CUMPLE</v>
      </c>
      <c r="AJ147" s="32">
        <f>IF(U148="","",+X147/V147)</f>
        <v>0.52692368735003037</v>
      </c>
      <c r="AK147" s="32" t="str">
        <f>IF(OR(AJ147="",AJ147&gt;$AK$13),"NO CUMPLE","CUMPLE")</f>
        <v>CUMPLE</v>
      </c>
      <c r="AL147" s="32">
        <f>IF(AA147=0,"INDET",(IF(U148="","",Z147/AA147)))</f>
        <v>4.5172099707729485</v>
      </c>
      <c r="AM147" s="32" t="str">
        <f>IF(OR(AL147="",AL147&lt;$AM$13),"NO CUMPLE","CUMPLE")</f>
        <v>CUMPLE</v>
      </c>
      <c r="AN147" s="32" t="str">
        <f>IF(AND(AG147="CUMPLE",AI147="CUMPLE",AK147="CUMPLE",AM147="CUMPLE",AD147="CUMPLE"),"CUMPLE","NO CUMPLE")</f>
        <v>CUMPLE</v>
      </c>
      <c r="AO147" s="142">
        <f>IF(U148="","",+Z147/Y147)</f>
        <v>0.17767017216330477</v>
      </c>
      <c r="AP147" s="143" t="str">
        <f>IF(OR(AO147="",AO147&lt;$AP$13),"NO CUMPLE","CUMPLE")</f>
        <v>CUMPLE</v>
      </c>
      <c r="AQ147" s="142">
        <f>IF(U148="","",+Z147/V147)</f>
        <v>8.4051549914901491E-2</v>
      </c>
      <c r="AR147" s="36" t="str">
        <f>IF(OR(AQ147="",AQ147&lt;$AR$13),"NO CUMPLE","CUMPLE")</f>
        <v>CUMPLE</v>
      </c>
      <c r="AS147" s="36" t="str">
        <f>IF(U148="","",IF(AND(AP147="CUMPLE",AR147="CUMPLE"),"CUMPLE","NO CUMPLE"))</f>
        <v>CUMPLE</v>
      </c>
      <c r="AT147" s="36" t="s">
        <v>58</v>
      </c>
      <c r="AU147" s="32" t="str">
        <f>IF(U148="","",IF(AND(O147="CUMPLE",AS147="CUMPLE",AN147="CUMPLE",T147="CUMPLE",AT147="CUMPLE"),"CUMPLE","NO CUMPLE"))</f>
        <v>CUMPLE</v>
      </c>
      <c r="AV147" s="37"/>
      <c r="AW147" s="37"/>
    </row>
    <row r="148" spans="4:49" ht="15" x14ac:dyDescent="0.2">
      <c r="D148" s="38">
        <f>+D147+0.1</f>
        <v>37.1</v>
      </c>
      <c r="E148" s="39" t="s">
        <v>235</v>
      </c>
      <c r="F148" s="40">
        <v>860009250</v>
      </c>
      <c r="G148" s="41">
        <v>0.4</v>
      </c>
      <c r="H148" s="42"/>
      <c r="I148" s="42"/>
      <c r="J148" s="42"/>
      <c r="K148" s="42"/>
      <c r="L148" s="42"/>
      <c r="M148" s="66"/>
      <c r="N148" s="42"/>
      <c r="O148" s="42"/>
      <c r="P148" s="43">
        <v>46064</v>
      </c>
      <c r="Q148" s="43">
        <v>45751</v>
      </c>
      <c r="R148" s="38" t="str">
        <f>IF((NETWORKDAYS(Q148,P148)-1)&gt;=10,"CUMPLE","NO CUMPLE")</f>
        <v>CUMPLE</v>
      </c>
      <c r="S148" s="38" t="str">
        <f>IF(('[3]DATOS INICIALES'!$C$4-P148)&lt;30,"CUMPLE","NO CUMPLE")</f>
        <v>CUMPLE</v>
      </c>
      <c r="T148" s="38" t="str">
        <f t="shared" si="38"/>
        <v>CUMPLE</v>
      </c>
      <c r="U148" s="93">
        <v>20392573018</v>
      </c>
      <c r="V148" s="93">
        <v>21128840096</v>
      </c>
      <c r="W148" s="93">
        <v>7617171098</v>
      </c>
      <c r="X148" s="93">
        <v>7617171098</v>
      </c>
      <c r="Y148" s="93">
        <v>13511668998</v>
      </c>
      <c r="Z148" s="93">
        <v>2280424077</v>
      </c>
      <c r="AA148" s="93">
        <v>23351485</v>
      </c>
      <c r="AB148" s="44">
        <f>+U148-W148</f>
        <v>12775401920</v>
      </c>
      <c r="AC148" s="48"/>
      <c r="AD148" s="48"/>
      <c r="AE148" s="67">
        <f>+U148-W148</f>
        <v>12775401920</v>
      </c>
      <c r="AF148" s="48"/>
      <c r="AG148" s="68"/>
      <c r="AH148" s="45"/>
      <c r="AI148" s="45"/>
      <c r="AJ148" s="45"/>
      <c r="AK148" s="45"/>
      <c r="AL148" s="45"/>
      <c r="AM148" s="45"/>
      <c r="AN148" s="46"/>
      <c r="AO148" s="144"/>
      <c r="AP148" s="144"/>
      <c r="AQ148" s="144"/>
      <c r="AR148" s="47"/>
      <c r="AS148" s="46"/>
      <c r="AT148" s="46"/>
      <c r="AU148" s="46"/>
      <c r="AV148" s="47"/>
      <c r="AW148" s="47"/>
    </row>
    <row r="149" spans="4:49" ht="15" x14ac:dyDescent="0.2">
      <c r="D149" s="38">
        <f>+D148+0.1</f>
        <v>37.200000000000003</v>
      </c>
      <c r="E149" s="39" t="s">
        <v>236</v>
      </c>
      <c r="F149" s="40">
        <v>900501031</v>
      </c>
      <c r="G149" s="41">
        <v>0.1</v>
      </c>
      <c r="H149" s="42"/>
      <c r="I149" s="42"/>
      <c r="J149" s="42"/>
      <c r="K149" s="42"/>
      <c r="L149" s="42"/>
      <c r="M149" s="66"/>
      <c r="N149" s="42"/>
      <c r="O149" s="42"/>
      <c r="P149" s="43">
        <v>46080</v>
      </c>
      <c r="Q149" s="43">
        <v>45751</v>
      </c>
      <c r="R149" s="38" t="str">
        <f>IF((NETWORKDAYS(Q149,P149)-1)&gt;=10,"CUMPLE","NO CUMPLE")</f>
        <v>CUMPLE</v>
      </c>
      <c r="S149" s="38" t="str">
        <f>IF(('[3]DATOS INICIALES'!$C$4-P149)&lt;30,"CUMPLE","NO CUMPLE")</f>
        <v>CUMPLE</v>
      </c>
      <c r="T149" s="38" t="str">
        <f t="shared" si="38"/>
        <v>CUMPLE</v>
      </c>
      <c r="U149" s="93">
        <v>2874756015</v>
      </c>
      <c r="V149" s="93">
        <v>2896474394</v>
      </c>
      <c r="W149" s="93">
        <v>703908946</v>
      </c>
      <c r="X149" s="93">
        <v>703908946</v>
      </c>
      <c r="Y149" s="93">
        <v>2192565448</v>
      </c>
      <c r="Z149" s="93">
        <v>371471909</v>
      </c>
      <c r="AA149" s="93">
        <v>0</v>
      </c>
      <c r="AB149" s="44">
        <f>+U149-W149</f>
        <v>2170847069</v>
      </c>
      <c r="AC149" s="48"/>
      <c r="AD149" s="48"/>
      <c r="AE149" s="67">
        <f>+U149-W149</f>
        <v>2170847069</v>
      </c>
      <c r="AF149" s="48"/>
      <c r="AG149" s="68"/>
      <c r="AH149" s="45"/>
      <c r="AI149" s="45"/>
      <c r="AJ149" s="45"/>
      <c r="AK149" s="45"/>
      <c r="AL149" s="45"/>
      <c r="AM149" s="45"/>
      <c r="AN149" s="46"/>
      <c r="AO149" s="144"/>
      <c r="AP149" s="144"/>
      <c r="AQ149" s="144"/>
      <c r="AR149" s="47"/>
      <c r="AS149" s="46"/>
      <c r="AT149" s="46"/>
      <c r="AU149" s="46"/>
      <c r="AV149" s="47"/>
      <c r="AW149" s="47"/>
    </row>
    <row r="150" spans="4:49" ht="15" x14ac:dyDescent="0.2">
      <c r="D150" s="38">
        <f>+D149+0.1</f>
        <v>37.300000000000004</v>
      </c>
      <c r="E150" s="39" t="s">
        <v>237</v>
      </c>
      <c r="F150" s="40">
        <v>860059851</v>
      </c>
      <c r="G150" s="41">
        <v>0.4</v>
      </c>
      <c r="H150" s="42"/>
      <c r="I150" s="42"/>
      <c r="J150" s="42"/>
      <c r="K150" s="42"/>
      <c r="L150" s="42"/>
      <c r="M150" s="66"/>
      <c r="N150" s="42"/>
      <c r="O150" s="42"/>
      <c r="P150" s="43">
        <v>46087</v>
      </c>
      <c r="Q150" s="43">
        <v>45747</v>
      </c>
      <c r="R150" s="38" t="str">
        <f>IF((NETWORKDAYS(Q150,P150)-1)&gt;=10,"CUMPLE","NO CUMPLE")</f>
        <v>CUMPLE</v>
      </c>
      <c r="S150" s="38" t="str">
        <f>IF(('[3]DATOS INICIALES'!$C$4-P150)&lt;30,"CUMPLE","NO CUMPLE")</f>
        <v>CUMPLE</v>
      </c>
      <c r="T150" s="38" t="str">
        <f t="shared" si="38"/>
        <v>CUMPLE</v>
      </c>
      <c r="U150" s="154">
        <v>71356372592</v>
      </c>
      <c r="V150" s="154">
        <v>94192633178</v>
      </c>
      <c r="W150" s="154">
        <v>39128980712</v>
      </c>
      <c r="X150" s="154">
        <v>53493931046</v>
      </c>
      <c r="Y150" s="154">
        <v>40698702132</v>
      </c>
      <c r="Z150" s="154">
        <v>7345991585</v>
      </c>
      <c r="AA150" s="154">
        <v>2141812974</v>
      </c>
      <c r="AB150" s="44">
        <f>+U150-W150</f>
        <v>32227391880</v>
      </c>
      <c r="AC150" s="48"/>
      <c r="AD150" s="48"/>
      <c r="AE150" s="67">
        <f>+U150-W150</f>
        <v>32227391880</v>
      </c>
      <c r="AF150" s="48"/>
      <c r="AG150" s="68"/>
      <c r="AH150" s="45"/>
      <c r="AI150" s="45"/>
      <c r="AJ150" s="45"/>
      <c r="AK150" s="45"/>
      <c r="AL150" s="45"/>
      <c r="AM150" s="45"/>
      <c r="AN150" s="46"/>
      <c r="AO150" s="144"/>
      <c r="AP150" s="144"/>
      <c r="AQ150" s="144"/>
      <c r="AR150" s="47"/>
      <c r="AS150" s="46"/>
      <c r="AT150" s="46"/>
      <c r="AU150" s="46"/>
      <c r="AV150" s="47"/>
      <c r="AW150" s="47"/>
    </row>
    <row r="151" spans="4:49" ht="15" x14ac:dyDescent="0.2">
      <c r="D151" s="38">
        <f>+D150+0.1</f>
        <v>37.400000000000006</v>
      </c>
      <c r="E151" s="39" t="s">
        <v>238</v>
      </c>
      <c r="F151" s="40">
        <v>901674399</v>
      </c>
      <c r="G151" s="41">
        <v>0.1</v>
      </c>
      <c r="H151" s="42"/>
      <c r="I151" s="42"/>
      <c r="J151" s="42"/>
      <c r="K151" s="42"/>
      <c r="L151" s="42"/>
      <c r="M151" s="66"/>
      <c r="N151" s="42"/>
      <c r="O151" s="42"/>
      <c r="P151" s="43">
        <v>46080</v>
      </c>
      <c r="Q151" s="43">
        <v>45734</v>
      </c>
      <c r="R151" s="38" t="str">
        <f>IF((NETWORKDAYS(Q151,P151)-1)&gt;=10,"CUMPLE","NO CUMPLE")</f>
        <v>CUMPLE</v>
      </c>
      <c r="S151" s="38" t="str">
        <f>IF(('[3]DATOS INICIALES'!$C$4-P151)&lt;30,"CUMPLE","NO CUMPLE")</f>
        <v>CUMPLE</v>
      </c>
      <c r="T151" s="38" t="str">
        <f t="shared" si="38"/>
        <v>CUMPLE</v>
      </c>
      <c r="U151" s="93">
        <v>1275851051</v>
      </c>
      <c r="V151" s="93">
        <v>1275851051</v>
      </c>
      <c r="W151" s="93">
        <v>112643299</v>
      </c>
      <c r="X151" s="93">
        <v>112643299</v>
      </c>
      <c r="Y151" s="93">
        <v>1163207752</v>
      </c>
      <c r="Z151" s="93">
        <v>245350132</v>
      </c>
      <c r="AA151" s="93">
        <v>105100</v>
      </c>
      <c r="AB151" s="44">
        <f>+U151-W151</f>
        <v>1163207752</v>
      </c>
      <c r="AC151" s="48"/>
      <c r="AD151" s="48"/>
      <c r="AE151" s="67">
        <f>+U151-W151</f>
        <v>1163207752</v>
      </c>
      <c r="AF151" s="48"/>
      <c r="AG151" s="68"/>
      <c r="AH151" s="45"/>
      <c r="AI151" s="45"/>
      <c r="AJ151" s="45"/>
      <c r="AK151" s="45"/>
      <c r="AL151" s="45"/>
      <c r="AM151" s="45"/>
      <c r="AN151" s="46"/>
      <c r="AO151" s="144"/>
      <c r="AP151" s="144"/>
      <c r="AQ151" s="144"/>
      <c r="AR151" s="47"/>
      <c r="AS151" s="46"/>
      <c r="AT151" s="46"/>
      <c r="AU151" s="46"/>
      <c r="AV151" s="47"/>
      <c r="AW151" s="47"/>
    </row>
    <row r="152" spans="4:49" ht="240" x14ac:dyDescent="0.15">
      <c r="D152" s="62">
        <v>38</v>
      </c>
      <c r="E152" s="63" t="str">
        <f>IF(D152="","",VLOOKUP(D152,'[3]DATOS INICIALES'!$B$10:$D$69,2,0))</f>
        <v xml:space="preserve">CONSORCIO RUTA NACIONAL DEL SUR </v>
      </c>
      <c r="F152" s="64">
        <f>IF(D152="","",VLOOKUP(D152,'[3]DATOS INICIALES'!$B$10:$D$69,3,0))</f>
        <v>0</v>
      </c>
      <c r="G152" s="65">
        <f>SUM(G153:G154)</f>
        <v>1</v>
      </c>
      <c r="H152" s="64"/>
      <c r="I152" s="30" t="s">
        <v>55</v>
      </c>
      <c r="J152" s="30" t="str">
        <f>IF(I152="SI","CUMPLE", "NO CUMPLE")</f>
        <v>CUMPLE</v>
      </c>
      <c r="K152" s="30" t="s">
        <v>55</v>
      </c>
      <c r="L152" s="30" t="str">
        <f>IF(K152="SI","CUMPLE", "NO CUMPLE")</f>
        <v>CUMPLE</v>
      </c>
      <c r="M152" s="51">
        <f>+IFERROR(VLOOKUP(D152,'[3]DATOS INICIALES'!$B$10:$G$100,6,0),0)</f>
        <v>69477143895</v>
      </c>
      <c r="N152" s="30" t="str">
        <f>IF(M152&lt;='[3]DATOS INICIALES'!$C$6,"CUMPLE","NO CUMPLE")</f>
        <v>CUMPLE</v>
      </c>
      <c r="O152" s="30" t="str">
        <f>IF(AND(J152="CUMPLE",L152="CUMPLE",N152="CUMPLE"),"CUMPLE","NO CUMPLE")</f>
        <v>CUMPLE</v>
      </c>
      <c r="P152" s="31"/>
      <c r="Q152" s="31"/>
      <c r="R152" s="32" t="str">
        <f>IF(AND(R153="CUMPLE",R154="CUMPLE"),"CUMPLE","NO CUMPLE")</f>
        <v>CUMPLE</v>
      </c>
      <c r="S152" s="32" t="str">
        <f>IF(AND(S153="CUMPLE",S154="CUMPLE"),"CUMPLE","NO CUMPLE")</f>
        <v>CUMPLE</v>
      </c>
      <c r="T152" s="32" t="str">
        <f t="shared" si="38"/>
        <v>CUMPLE</v>
      </c>
      <c r="U152" s="155">
        <f t="shared" ref="U152:AB152" si="40">+(U153*$G153)+(U154*$G154)</f>
        <v>53812195906.300003</v>
      </c>
      <c r="V152" s="155">
        <f t="shared" si="40"/>
        <v>65302139301.800003</v>
      </c>
      <c r="W152" s="155">
        <f t="shared" si="40"/>
        <v>24414298899.299999</v>
      </c>
      <c r="X152" s="155">
        <f t="shared" si="40"/>
        <v>25801937889.299999</v>
      </c>
      <c r="Y152" s="155">
        <f t="shared" si="40"/>
        <v>39500201412.5</v>
      </c>
      <c r="Z152" s="155">
        <f t="shared" si="40"/>
        <v>19705386743.100002</v>
      </c>
      <c r="AA152" s="155">
        <f t="shared" si="40"/>
        <v>1365088302.9000001</v>
      </c>
      <c r="AB152" s="34">
        <f t="shared" si="40"/>
        <v>29397897007</v>
      </c>
      <c r="AC152" s="34"/>
      <c r="AD152" s="32" t="str">
        <f>IF(AB152&gt;=$AD$13,"CUMPLE","NO CUMPLE")</f>
        <v>CUMPLE</v>
      </c>
      <c r="AE152" s="75">
        <f>+MAX(AE153:AE154)</f>
        <v>32661552230</v>
      </c>
      <c r="AF152" s="32"/>
      <c r="AG152" s="32" t="str">
        <f>+IF(AE152&gt;=$AG$13,"CUMPLE","NO CUMPLE")</f>
        <v>CUMPLE</v>
      </c>
      <c r="AH152" s="32">
        <f>IF(E152="","",(IF(W152=0,"INDETERMINADO",+U152/W152)))</f>
        <v>2.2041262019546624</v>
      </c>
      <c r="AI152" s="32" t="str">
        <f>IF(OR(AH152="",AH152&lt;$AI$13),"NO CUMPLE","CUMPLE")</f>
        <v>CUMPLE</v>
      </c>
      <c r="AJ152" s="32">
        <f>IF(U153="","",+X152/V152)</f>
        <v>0.39511627283838141</v>
      </c>
      <c r="AK152" s="32" t="str">
        <f>IF(OR(AJ152="",AJ152&gt;$AK$13),"NO CUMPLE","CUMPLE")</f>
        <v>CUMPLE</v>
      </c>
      <c r="AL152" s="32">
        <f>IF(AA152=0,"INDET",(IF(U153="","",Z152/AA152)))</f>
        <v>14.435246936947438</v>
      </c>
      <c r="AM152" s="32" t="str">
        <f>IF(OR(AL152="",AL152&lt;$AM$13),"NO CUMPLE","CUMPLE")</f>
        <v>CUMPLE</v>
      </c>
      <c r="AN152" s="32" t="str">
        <f>IF(AND(AG152="CUMPLE",AI152="CUMPLE",AK152="CUMPLE",AM152="CUMPLE",AD152="CUMPLE"),"CUMPLE","NO CUMPLE")</f>
        <v>CUMPLE</v>
      </c>
      <c r="AO152" s="142">
        <f>IF(U153="","",+Z152/Y152)</f>
        <v>0.49886800670500259</v>
      </c>
      <c r="AP152" s="143" t="str">
        <f>IF(OR(AO152="",AO152&lt;$AP$13),"NO CUMPLE","CUMPLE")</f>
        <v>CUMPLE</v>
      </c>
      <c r="AQ152" s="142">
        <f>IF(U153="","",+Z152/V152)</f>
        <v>0.30175713925740927</v>
      </c>
      <c r="AR152" s="36" t="str">
        <f>IF(OR(AQ152="",AQ152&lt;$AR$13),"NO CUMPLE","CUMPLE")</f>
        <v>CUMPLE</v>
      </c>
      <c r="AS152" s="36" t="str">
        <f>IF(U153="","",IF(AND(AP152="CUMPLE",AR152="CUMPLE"),"CUMPLE","NO CUMPLE"))</f>
        <v>CUMPLE</v>
      </c>
      <c r="AT152" s="36" t="s">
        <v>239</v>
      </c>
      <c r="AU152" s="32" t="str">
        <f>IF(U153="","",IF(AND(O152="CUMPLE",AS152="CUMPLE",AN152="CUMPLE",T152="CUMPLE",AT152="CUMPLE"),"CUMPLE","NO CUMPLE"))</f>
        <v>NO CUMPLE</v>
      </c>
      <c r="AV152" s="37"/>
      <c r="AW152" s="146" t="s">
        <v>240</v>
      </c>
    </row>
    <row r="153" spans="4:49" ht="15" x14ac:dyDescent="0.2">
      <c r="D153" s="38">
        <f>+D152+0.1</f>
        <v>38.1</v>
      </c>
      <c r="E153" s="39" t="s">
        <v>241</v>
      </c>
      <c r="F153" s="40">
        <v>860032057</v>
      </c>
      <c r="G153" s="41">
        <v>0.9</v>
      </c>
      <c r="H153" s="42"/>
      <c r="I153" s="42"/>
      <c r="J153" s="42"/>
      <c r="K153" s="42"/>
      <c r="L153" s="42"/>
      <c r="M153" s="66"/>
      <c r="N153" s="42"/>
      <c r="O153" s="42"/>
      <c r="P153" s="43">
        <v>46086</v>
      </c>
      <c r="Q153" s="43">
        <v>45784</v>
      </c>
      <c r="R153" s="38" t="str">
        <f>IF((NETWORKDAYS(Q153,P153)-1)&gt;=10,"CUMPLE","NO CUMPLE")</f>
        <v>CUMPLE</v>
      </c>
      <c r="S153" s="38" t="str">
        <f>IF(('[3]DATOS INICIALES'!$C$4-P153)&lt;30,"CUMPLE","NO CUMPLE")</f>
        <v>CUMPLE</v>
      </c>
      <c r="T153" s="38" t="str">
        <f t="shared" si="38"/>
        <v>CUMPLE</v>
      </c>
      <c r="U153" s="93">
        <v>59788551007</v>
      </c>
      <c r="V153" s="93">
        <v>72552377002</v>
      </c>
      <c r="W153" s="93">
        <v>27126998777</v>
      </c>
      <c r="X153" s="93">
        <v>28668819877</v>
      </c>
      <c r="Y153" s="93">
        <v>43883557125</v>
      </c>
      <c r="Z153" s="93">
        <v>21894874159</v>
      </c>
      <c r="AA153" s="93">
        <v>1516764781</v>
      </c>
      <c r="AB153" s="44">
        <f>+U153-W153</f>
        <v>32661552230</v>
      </c>
      <c r="AC153" s="48"/>
      <c r="AD153" s="47"/>
      <c r="AE153" s="67">
        <f>+U153-W153</f>
        <v>32661552230</v>
      </c>
      <c r="AF153" s="47"/>
      <c r="AG153" s="68"/>
      <c r="AH153" s="45"/>
      <c r="AI153" s="45"/>
      <c r="AJ153" s="45"/>
      <c r="AK153" s="45"/>
      <c r="AL153" s="45"/>
      <c r="AM153" s="45"/>
      <c r="AN153" s="46"/>
      <c r="AO153" s="144"/>
      <c r="AP153" s="144"/>
      <c r="AQ153" s="144"/>
      <c r="AR153" s="47"/>
      <c r="AS153" s="46"/>
      <c r="AT153" s="46"/>
      <c r="AU153" s="46"/>
      <c r="AV153" s="47"/>
      <c r="AW153" s="47"/>
    </row>
    <row r="154" spans="4:49" ht="15" x14ac:dyDescent="0.2">
      <c r="D154" s="38">
        <f>+D153+0.1</f>
        <v>38.200000000000003</v>
      </c>
      <c r="E154" s="39" t="s">
        <v>242</v>
      </c>
      <c r="F154" s="40">
        <v>902027016</v>
      </c>
      <c r="G154" s="41">
        <v>0.1</v>
      </c>
      <c r="H154" s="42"/>
      <c r="I154" s="42"/>
      <c r="J154" s="42"/>
      <c r="K154" s="42"/>
      <c r="L154" s="42"/>
      <c r="M154" s="66"/>
      <c r="N154" s="42"/>
      <c r="O154" s="42"/>
      <c r="P154" s="43">
        <v>46066</v>
      </c>
      <c r="Q154" s="43">
        <v>46050</v>
      </c>
      <c r="R154" s="38" t="str">
        <f>IF((NETWORKDAYS(Q154,P154)-1)&gt;=10,"CUMPLE","NO CUMPLE")</f>
        <v>CUMPLE</v>
      </c>
      <c r="S154" s="38" t="str">
        <f>IF(('[3]DATOS INICIALES'!$C$4-P154)&lt;30,"CUMPLE","NO CUMPLE")</f>
        <v>CUMPLE</v>
      </c>
      <c r="T154" s="38" t="str">
        <f t="shared" si="38"/>
        <v>CUMPLE</v>
      </c>
      <c r="U154" s="154">
        <v>25000000</v>
      </c>
      <c r="V154" s="154">
        <v>50000000</v>
      </c>
      <c r="W154" s="154">
        <v>0</v>
      </c>
      <c r="X154" s="154">
        <v>0</v>
      </c>
      <c r="Y154" s="154">
        <v>50000000</v>
      </c>
      <c r="Z154" s="154">
        <v>0</v>
      </c>
      <c r="AA154" s="154">
        <v>0</v>
      </c>
      <c r="AB154" s="44">
        <f>+U154-W154</f>
        <v>25000000</v>
      </c>
      <c r="AC154" s="48"/>
      <c r="AD154" s="47"/>
      <c r="AE154" s="67">
        <f>+U154-W154</f>
        <v>25000000</v>
      </c>
      <c r="AF154" s="47"/>
      <c r="AG154" s="68"/>
      <c r="AH154" s="45"/>
      <c r="AI154" s="45"/>
      <c r="AJ154" s="45"/>
      <c r="AK154" s="45"/>
      <c r="AL154" s="45"/>
      <c r="AM154" s="45"/>
      <c r="AN154" s="46"/>
      <c r="AO154" s="144"/>
      <c r="AP154" s="144"/>
      <c r="AQ154" s="144"/>
      <c r="AR154" s="47"/>
      <c r="AS154" s="46"/>
      <c r="AT154" s="46"/>
      <c r="AU154" s="46"/>
      <c r="AV154" s="47"/>
      <c r="AW154" s="47"/>
    </row>
    <row r="155" spans="4:49" ht="15" x14ac:dyDescent="0.15">
      <c r="D155" s="62">
        <v>39</v>
      </c>
      <c r="E155" s="63" t="str">
        <f>IF(D155="","",VLOOKUP(D155,'[3]DATOS INICIALES'!$B$10:$D$69,2,0))</f>
        <v>CONSORCIO TPF CONEXION POPAYAN</v>
      </c>
      <c r="F155" s="64">
        <f>IF(D155="","",VLOOKUP(D155,'[3]DATOS INICIALES'!$B$10:$D$69,3,0))</f>
        <v>0</v>
      </c>
      <c r="G155" s="65">
        <f>SUM(G156:G157)</f>
        <v>1</v>
      </c>
      <c r="H155" s="64"/>
      <c r="I155" s="30" t="s">
        <v>55</v>
      </c>
      <c r="J155" s="30" t="str">
        <f>IF(I155="SI","CUMPLE", "NO CUMPLE")</f>
        <v>CUMPLE</v>
      </c>
      <c r="K155" s="30" t="s">
        <v>55</v>
      </c>
      <c r="L155" s="30" t="str">
        <f>IF(K155="SI","CUMPLE", "NO CUMPLE")</f>
        <v>CUMPLE</v>
      </c>
      <c r="M155" s="51">
        <f>+IFERROR(VLOOKUP(D155,'[3]DATOS INICIALES'!$B$10:$G$100,6,0),0)</f>
        <v>69477143896</v>
      </c>
      <c r="N155" s="30" t="str">
        <f>IF(M155&lt;='[3]DATOS INICIALES'!$C$6,"CUMPLE","NO CUMPLE")</f>
        <v>CUMPLE</v>
      </c>
      <c r="O155" s="30" t="str">
        <f>IF(AND(J155="CUMPLE",L155="CUMPLE",N155="CUMPLE"),"CUMPLE","NO CUMPLE")</f>
        <v>CUMPLE</v>
      </c>
      <c r="P155" s="31"/>
      <c r="Q155" s="31"/>
      <c r="R155" s="32" t="str">
        <f>IF(AND(R156="CUMPLE",R157="CUMPLE"),"CUMPLE","NO CUMPLE")</f>
        <v>CUMPLE</v>
      </c>
      <c r="S155" s="32" t="str">
        <f>IF(AND(S156="CUMPLE",S157="CUMPLE"),"CUMPLE","NO CUMPLE")</f>
        <v>CUMPLE</v>
      </c>
      <c r="T155" s="32" t="str">
        <f t="shared" si="38"/>
        <v>CUMPLE</v>
      </c>
      <c r="U155" s="155">
        <f t="shared" ref="U155:AB155" si="41">+(U156*$G156)+(U157*$G157)</f>
        <v>203260956096.9295</v>
      </c>
      <c r="V155" s="155">
        <f t="shared" si="41"/>
        <v>262911355000.93097</v>
      </c>
      <c r="W155" s="155">
        <f t="shared" si="41"/>
        <v>105297499029.1615</v>
      </c>
      <c r="X155" s="155">
        <f t="shared" si="41"/>
        <v>169024414586.90198</v>
      </c>
      <c r="Y155" s="155">
        <f t="shared" si="41"/>
        <v>93886940414.029007</v>
      </c>
      <c r="Z155" s="155">
        <f t="shared" si="41"/>
        <v>18556367248.018497</v>
      </c>
      <c r="AA155" s="155">
        <f t="shared" si="41"/>
        <v>2787040990.0240002</v>
      </c>
      <c r="AB155" s="34">
        <f t="shared" si="41"/>
        <v>97963457067.76799</v>
      </c>
      <c r="AC155" s="34"/>
      <c r="AD155" s="32" t="str">
        <f>IF(AB155&gt;=$AD$13,"CUMPLE","NO CUMPLE")</f>
        <v>CUMPLE</v>
      </c>
      <c r="AE155" s="75">
        <f>+MAX(AE156:AE157)</f>
        <v>114257087575.07999</v>
      </c>
      <c r="AF155" s="32"/>
      <c r="AG155" s="32" t="str">
        <f>+IF(AE155&gt;=$AG$13,"CUMPLE","NO CUMPLE")</f>
        <v>CUMPLE</v>
      </c>
      <c r="AH155" s="32">
        <f>IF(E155="","",(IF(W155=0,"INDETERMINADO",+U155/W155)))</f>
        <v>1.9303493242573371</v>
      </c>
      <c r="AI155" s="32" t="str">
        <f>IF(OR(AH155="",AH155&lt;$AI$13),"NO CUMPLE","CUMPLE")</f>
        <v>CUMPLE</v>
      </c>
      <c r="AJ155" s="32">
        <f>IF(U156="","",+X155/V155)</f>
        <v>0.64289507231935061</v>
      </c>
      <c r="AK155" s="32" t="str">
        <f>IF(OR(AJ155="",AJ155&gt;$AK$13),"NO CUMPLE","CUMPLE")</f>
        <v>CUMPLE</v>
      </c>
      <c r="AL155" s="32">
        <f>IF(AA155=0,"INDET",(IF(U156="","",Z155/AA155)))</f>
        <v>6.658089103977872</v>
      </c>
      <c r="AM155" s="32" t="str">
        <f>IF(OR(AL155="",AL155&lt;$AM$13),"NO CUMPLE","CUMPLE")</f>
        <v>CUMPLE</v>
      </c>
      <c r="AN155" s="32" t="str">
        <f>IF(AND(AG155="CUMPLE",AI155="CUMPLE",AK155="CUMPLE",AM155="CUMPLE",AD155="CUMPLE"),"CUMPLE","NO CUMPLE")</f>
        <v>CUMPLE</v>
      </c>
      <c r="AO155" s="142">
        <f>IF(U156="","",+Z155/Y155)</f>
        <v>0.19764588308221961</v>
      </c>
      <c r="AP155" s="143" t="str">
        <f>IF(OR(AO155="",AO155&lt;$AP$13),"NO CUMPLE","CUMPLE")</f>
        <v>CUMPLE</v>
      </c>
      <c r="AQ155" s="142">
        <f>IF(U156="","",+Z155/V155)</f>
        <v>7.058031878445413E-2</v>
      </c>
      <c r="AR155" s="36" t="str">
        <f>IF(OR(AQ155="",AQ155&lt;$AR$13),"NO CUMPLE","CUMPLE")</f>
        <v>CUMPLE</v>
      </c>
      <c r="AS155" s="36" t="str">
        <f>IF(U156="","",IF(AND(AP155="CUMPLE",AR155="CUMPLE"),"CUMPLE","NO CUMPLE"))</f>
        <v>CUMPLE</v>
      </c>
      <c r="AT155" s="36" t="s">
        <v>58</v>
      </c>
      <c r="AU155" s="32" t="str">
        <f>IF(U156="","",IF(AND(O155="CUMPLE",AS155="CUMPLE",AN155="CUMPLE",T155="CUMPLE",AT155="CUMPLE"),"CUMPLE","NO CUMPLE"))</f>
        <v>CUMPLE</v>
      </c>
      <c r="AV155" s="37"/>
      <c r="AW155" s="37"/>
    </row>
    <row r="156" spans="4:49" ht="15" x14ac:dyDescent="0.2">
      <c r="D156" s="38">
        <f>+D155+0.1</f>
        <v>39.1</v>
      </c>
      <c r="E156" s="39" t="s">
        <v>243</v>
      </c>
      <c r="F156" s="40">
        <v>900797235</v>
      </c>
      <c r="G156" s="41">
        <v>0.85</v>
      </c>
      <c r="H156" s="42"/>
      <c r="I156" s="42"/>
      <c r="J156" s="42"/>
      <c r="K156" s="42"/>
      <c r="L156" s="42"/>
      <c r="M156" s="66"/>
      <c r="N156" s="42"/>
      <c r="O156" s="42"/>
      <c r="P156" s="43">
        <v>46063</v>
      </c>
      <c r="Q156" s="43">
        <v>45749</v>
      </c>
      <c r="R156" s="38" t="str">
        <f>IF((NETWORKDAYS(Q156,P156)-1)&gt;=10,"CUMPLE","NO CUMPLE")</f>
        <v>CUMPLE</v>
      </c>
      <c r="S156" s="38" t="str">
        <f>IF(('[3]DATOS INICIALES'!$C$4-P156)&lt;30,"CUMPLE","NO CUMPLE")</f>
        <v>CUMPLE</v>
      </c>
      <c r="T156" s="38" t="str">
        <f t="shared" si="38"/>
        <v>CUMPLE</v>
      </c>
      <c r="U156" s="93">
        <v>237627743551.26999</v>
      </c>
      <c r="V156" s="93">
        <v>307796968503.85999</v>
      </c>
      <c r="W156" s="93">
        <v>123370655976.19</v>
      </c>
      <c r="X156" s="93">
        <v>198343334044.12</v>
      </c>
      <c r="Y156" s="93">
        <v>109453634459.74001</v>
      </c>
      <c r="Z156" s="93">
        <v>21497677424.610001</v>
      </c>
      <c r="AA156" s="93">
        <v>3269829929.4400001</v>
      </c>
      <c r="AB156" s="44">
        <f>+U156-W156</f>
        <v>114257087575.07999</v>
      </c>
      <c r="AC156" s="48"/>
      <c r="AD156" s="47"/>
      <c r="AE156" s="67">
        <f>+U156-W156</f>
        <v>114257087575.07999</v>
      </c>
      <c r="AF156" s="47"/>
      <c r="AG156" s="68"/>
      <c r="AH156" s="45"/>
      <c r="AI156" s="45"/>
      <c r="AJ156" s="45"/>
      <c r="AK156" s="45"/>
      <c r="AL156" s="45"/>
      <c r="AM156" s="45"/>
      <c r="AN156" s="46"/>
      <c r="AO156" s="144"/>
      <c r="AP156" s="144"/>
      <c r="AQ156" s="144"/>
      <c r="AR156" s="47"/>
      <c r="AS156" s="46"/>
      <c r="AT156" s="46"/>
      <c r="AU156" s="46"/>
      <c r="AV156" s="47"/>
      <c r="AW156" s="47"/>
    </row>
    <row r="157" spans="4:49" ht="15" x14ac:dyDescent="0.2">
      <c r="D157" s="38">
        <f>+D156+0.1</f>
        <v>39.200000000000003</v>
      </c>
      <c r="E157" s="39" t="s">
        <v>244</v>
      </c>
      <c r="F157" s="40">
        <v>900753174</v>
      </c>
      <c r="G157" s="41">
        <v>0.15</v>
      </c>
      <c r="H157" s="42"/>
      <c r="I157" s="42"/>
      <c r="J157" s="42"/>
      <c r="K157" s="42"/>
      <c r="L157" s="42"/>
      <c r="M157" s="66"/>
      <c r="N157" s="42"/>
      <c r="O157" s="42"/>
      <c r="P157" s="43">
        <v>46080</v>
      </c>
      <c r="Q157" s="43">
        <v>45779</v>
      </c>
      <c r="R157" s="38" t="str">
        <f>IF((NETWORKDAYS(Q157,P157)-1)&gt;=10,"CUMPLE","NO CUMPLE")</f>
        <v>CUMPLE</v>
      </c>
      <c r="S157" s="38" t="str">
        <f>IF(('[3]DATOS INICIALES'!$C$4-P157)&lt;30,"CUMPLE","NO CUMPLE")</f>
        <v>CUMPLE</v>
      </c>
      <c r="T157" s="38" t="str">
        <f t="shared" si="38"/>
        <v>CUMPLE</v>
      </c>
      <c r="U157" s="154">
        <v>8515827189</v>
      </c>
      <c r="V157" s="154">
        <v>8559545151</v>
      </c>
      <c r="W157" s="154">
        <v>2882942996</v>
      </c>
      <c r="X157" s="154">
        <v>2883870996</v>
      </c>
      <c r="Y157" s="154">
        <v>5675674155</v>
      </c>
      <c r="Z157" s="154">
        <v>1888942914</v>
      </c>
      <c r="AA157" s="154">
        <v>51237000</v>
      </c>
      <c r="AB157" s="44">
        <f>+U157-W157</f>
        <v>5632884193</v>
      </c>
      <c r="AC157" s="48"/>
      <c r="AD157" s="47"/>
      <c r="AE157" s="67">
        <f>+U157-W157</f>
        <v>5632884193</v>
      </c>
      <c r="AF157" s="47"/>
      <c r="AG157" s="68"/>
      <c r="AH157" s="45"/>
      <c r="AI157" s="45"/>
      <c r="AJ157" s="45"/>
      <c r="AK157" s="45"/>
      <c r="AL157" s="45"/>
      <c r="AM157" s="45"/>
      <c r="AN157" s="46"/>
      <c r="AO157" s="144"/>
      <c r="AP157" s="144"/>
      <c r="AQ157" s="144"/>
      <c r="AR157" s="47"/>
      <c r="AS157" s="46"/>
      <c r="AT157" s="46"/>
      <c r="AU157" s="46"/>
      <c r="AV157" s="47"/>
      <c r="AW157" s="47"/>
    </row>
    <row r="158" spans="4:49" ht="135" x14ac:dyDescent="0.15">
      <c r="D158" s="62">
        <v>40</v>
      </c>
      <c r="E158" s="63" t="str">
        <f>IF(D158="","",VLOOKUP(D158,'[3]DATOS INICIALES'!$B$10:$D$69,2,0))</f>
        <v>CONSORCIO A1V2-SCAIN</v>
      </c>
      <c r="F158" s="64">
        <f>IF(D158="","",VLOOKUP(D158,'[3]DATOS INICIALES'!$B$10:$D$69,3,0))</f>
        <v>0</v>
      </c>
      <c r="G158" s="65">
        <f>SUM(G159:G160)</f>
        <v>1</v>
      </c>
      <c r="H158" s="64"/>
      <c r="I158" s="30" t="s">
        <v>55</v>
      </c>
      <c r="J158" s="30" t="str">
        <f>IF(I158="SI","CUMPLE", "NO CUMPLE")</f>
        <v>CUMPLE</v>
      </c>
      <c r="K158" s="30" t="s">
        <v>55</v>
      </c>
      <c r="L158" s="30" t="str">
        <f>IF(K158="SI","CUMPLE", "NO CUMPLE")</f>
        <v>CUMPLE</v>
      </c>
      <c r="M158" s="51">
        <v>0</v>
      </c>
      <c r="N158" s="30" t="s">
        <v>239</v>
      </c>
      <c r="O158" s="30" t="str">
        <f>IF(AND(J158="CUMPLE",L158="CUMPLE",N158="CUMPLE"),"CUMPLE","NO CUMPLE")</f>
        <v>NO CUMPLE</v>
      </c>
      <c r="P158" s="31"/>
      <c r="Q158" s="31"/>
      <c r="R158" s="32" t="str">
        <f>IF(AND(R159="CUMPLE",R160="CUMPLE"),"CUMPLE","NO CUMPLE")</f>
        <v>CUMPLE</v>
      </c>
      <c r="S158" s="32" t="str">
        <f>IF(AND(S159="CUMPLE",S160="CUMPLE"),"CUMPLE","NO CUMPLE")</f>
        <v>CUMPLE</v>
      </c>
      <c r="T158" s="32" t="str">
        <f t="shared" si="38"/>
        <v>CUMPLE</v>
      </c>
      <c r="U158" s="155">
        <f t="shared" ref="U158:AB158" si="42">+(U159*$G159)+(U160*$G160)</f>
        <v>16700643106</v>
      </c>
      <c r="V158" s="155">
        <f t="shared" si="42"/>
        <v>19016081660.5</v>
      </c>
      <c r="W158" s="155">
        <f t="shared" si="42"/>
        <v>207380187</v>
      </c>
      <c r="X158" s="155">
        <f t="shared" si="42"/>
        <v>207380187</v>
      </c>
      <c r="Y158" s="155">
        <f t="shared" si="42"/>
        <v>18808701473.5</v>
      </c>
      <c r="Z158" s="155">
        <f t="shared" si="42"/>
        <v>2393298671.5</v>
      </c>
      <c r="AA158" s="155">
        <f t="shared" si="42"/>
        <v>151555</v>
      </c>
      <c r="AB158" s="34">
        <f t="shared" si="42"/>
        <v>16493262919</v>
      </c>
      <c r="AC158" s="34"/>
      <c r="AD158" s="32" t="str">
        <f>IF(AB158&gt;=$AD$13,"CUMPLE","NO CUMPLE")</f>
        <v>CUMPLE</v>
      </c>
      <c r="AE158" s="75">
        <f>+MAX(AE159:AE160)</f>
        <v>32301324465</v>
      </c>
      <c r="AF158" s="32"/>
      <c r="AG158" s="32" t="str">
        <f>+IF(AE158&gt;=$AG$13,"CUMPLE","NO CUMPLE")</f>
        <v>CUMPLE</v>
      </c>
      <c r="AH158" s="32">
        <f>IF(E158="","",(IF(W158=0,"INDETERMINADO",+U158/W158)))</f>
        <v>80.531526890753554</v>
      </c>
      <c r="AI158" s="32" t="str">
        <f>IF(OR(AH158="",AH158&lt;$AI$13),"NO CUMPLE","CUMPLE")</f>
        <v>CUMPLE</v>
      </c>
      <c r="AJ158" s="32">
        <f>IF(U159="","",+X158/V158)</f>
        <v>1.0905516220555989E-2</v>
      </c>
      <c r="AK158" s="32" t="str">
        <f>IF(OR(AJ158="",AJ158&gt;$AK$13),"NO CUMPLE","CUMPLE")</f>
        <v>CUMPLE</v>
      </c>
      <c r="AL158" s="32">
        <f>IF(AA158=0,"INDET",(IF(U159="","",Z158/AA158)))</f>
        <v>15791.618036356438</v>
      </c>
      <c r="AM158" s="32" t="str">
        <f>IF(OR(AL158="",AL158&lt;$AM$13),"NO CUMPLE","CUMPLE")</f>
        <v>CUMPLE</v>
      </c>
      <c r="AN158" s="32" t="str">
        <f>IF(AND(AG158="CUMPLE",AI158="CUMPLE",AK158="CUMPLE",AM158="CUMPLE",AD158="CUMPLE"),"CUMPLE","NO CUMPLE")</f>
        <v>CUMPLE</v>
      </c>
      <c r="AO158" s="142">
        <f>IF(U159="","",+Z158/Y158)</f>
        <v>0.12724422655503209</v>
      </c>
      <c r="AP158" s="143" t="str">
        <f>IF(OR(AO158="",AO158&lt;$AP$13),"NO CUMPLE","CUMPLE")</f>
        <v>CUMPLE</v>
      </c>
      <c r="AQ158" s="142">
        <f>IF(U159="","",+Z158/V158)</f>
        <v>0.12585656257836408</v>
      </c>
      <c r="AR158" s="36" t="str">
        <f>IF(OR(AQ158="",AQ158&lt;$AR$13),"NO CUMPLE","CUMPLE")</f>
        <v>CUMPLE</v>
      </c>
      <c r="AS158" s="36" t="str">
        <f>IF(U159="","",IF(AND(AP158="CUMPLE",AR158="CUMPLE"),"CUMPLE","NO CUMPLE"))</f>
        <v>CUMPLE</v>
      </c>
      <c r="AT158" s="36" t="s">
        <v>239</v>
      </c>
      <c r="AU158" s="32" t="str">
        <f>IF(U159="","",IF(AND(O158="CUMPLE",AS158="CUMPLE",AN158="CUMPLE",T158="CUMPLE",AT158="CUMPLE"),"CUMPLE","NO CUMPLE"))</f>
        <v>NO CUMPLE</v>
      </c>
      <c r="AV158" s="37"/>
      <c r="AW158" s="146" t="s">
        <v>245</v>
      </c>
    </row>
    <row r="159" spans="4:49" ht="15" x14ac:dyDescent="0.2">
      <c r="D159" s="38">
        <f>+D158+0.1</f>
        <v>40.1</v>
      </c>
      <c r="E159" s="39" t="s">
        <v>246</v>
      </c>
      <c r="F159" s="40">
        <v>901589016</v>
      </c>
      <c r="G159" s="41">
        <v>0.5</v>
      </c>
      <c r="H159" s="42"/>
      <c r="I159" s="42"/>
      <c r="J159" s="42"/>
      <c r="K159" s="42"/>
      <c r="L159" s="42"/>
      <c r="M159" s="66"/>
      <c r="N159" s="42"/>
      <c r="O159" s="42"/>
      <c r="P159" s="43">
        <v>46087</v>
      </c>
      <c r="Q159" s="43">
        <v>45735</v>
      </c>
      <c r="R159" s="38" t="str">
        <f>IF((NETWORKDAYS(Q159,P159)-1)&gt;=10,"CUMPLE","NO CUMPLE")</f>
        <v>CUMPLE</v>
      </c>
      <c r="S159" s="38" t="str">
        <f>IF(('[3]DATOS INICIALES'!$C$4-P159)&lt;30,"CUMPLE","NO CUMPLE")</f>
        <v>CUMPLE</v>
      </c>
      <c r="T159" s="38" t="str">
        <f t="shared" si="38"/>
        <v>CUMPLE</v>
      </c>
      <c r="U159" s="93">
        <v>806599122</v>
      </c>
      <c r="V159" s="93">
        <v>806599122</v>
      </c>
      <c r="W159" s="93">
        <v>121397749</v>
      </c>
      <c r="X159" s="93">
        <v>121397749</v>
      </c>
      <c r="Y159" s="93">
        <v>685201373</v>
      </c>
      <c r="Z159" s="93">
        <v>-5708388</v>
      </c>
      <c r="AA159" s="93">
        <v>303110</v>
      </c>
      <c r="AB159" s="44">
        <f>+U159-W159</f>
        <v>685201373</v>
      </c>
      <c r="AC159" s="48"/>
      <c r="AD159" s="47"/>
      <c r="AE159" s="67">
        <f>+U159-W159</f>
        <v>685201373</v>
      </c>
      <c r="AF159" s="47"/>
      <c r="AG159" s="68"/>
      <c r="AH159" s="45"/>
      <c r="AI159" s="45"/>
      <c r="AJ159" s="45"/>
      <c r="AK159" s="45"/>
      <c r="AL159" s="45"/>
      <c r="AM159" s="45"/>
      <c r="AN159" s="46"/>
      <c r="AO159" s="144"/>
      <c r="AP159" s="144"/>
      <c r="AQ159" s="144"/>
      <c r="AR159" s="47"/>
      <c r="AS159" s="46"/>
      <c r="AT159" s="46"/>
      <c r="AU159" s="46"/>
      <c r="AV159" s="47"/>
      <c r="AW159" s="47"/>
    </row>
    <row r="160" spans="4:49" ht="15" x14ac:dyDescent="0.2">
      <c r="D160" s="38">
        <f>+D159+0.1</f>
        <v>40.200000000000003</v>
      </c>
      <c r="E160" s="39" t="s">
        <v>247</v>
      </c>
      <c r="F160" s="40">
        <v>900188602</v>
      </c>
      <c r="G160" s="41">
        <v>0.5</v>
      </c>
      <c r="H160" s="42"/>
      <c r="I160" s="42"/>
      <c r="J160" s="42"/>
      <c r="K160" s="42"/>
      <c r="L160" s="42"/>
      <c r="M160" s="66"/>
      <c r="N160" s="42"/>
      <c r="O160" s="42"/>
      <c r="P160" s="43">
        <v>46087</v>
      </c>
      <c r="Q160" s="43">
        <v>45751</v>
      </c>
      <c r="R160" s="38" t="str">
        <f>IF((NETWORKDAYS(Q160,P160)-1)&gt;=10,"CUMPLE","NO CUMPLE")</f>
        <v>CUMPLE</v>
      </c>
      <c r="S160" s="38" t="str">
        <f>IF(('[3]DATOS INICIALES'!$C$4-P160)&lt;30,"CUMPLE","NO CUMPLE")</f>
        <v>CUMPLE</v>
      </c>
      <c r="T160" s="38" t="str">
        <f t="shared" si="38"/>
        <v>CUMPLE</v>
      </c>
      <c r="U160" s="93">
        <v>32594687090</v>
      </c>
      <c r="V160" s="93">
        <v>37225564199</v>
      </c>
      <c r="W160" s="93">
        <v>293362625</v>
      </c>
      <c r="X160" s="93">
        <v>293362625</v>
      </c>
      <c r="Y160" s="93">
        <v>36932201574</v>
      </c>
      <c r="Z160" s="93">
        <v>4792305731</v>
      </c>
      <c r="AA160" s="93">
        <v>0</v>
      </c>
      <c r="AB160" s="44">
        <f>+U160-W160</f>
        <v>32301324465</v>
      </c>
      <c r="AC160" s="48"/>
      <c r="AD160" s="47"/>
      <c r="AE160" s="67">
        <f>+U160-W160</f>
        <v>32301324465</v>
      </c>
      <c r="AF160" s="47"/>
      <c r="AG160" s="68"/>
      <c r="AH160" s="45"/>
      <c r="AI160" s="45"/>
      <c r="AJ160" s="45"/>
      <c r="AK160" s="45"/>
      <c r="AL160" s="45"/>
      <c r="AM160" s="45"/>
      <c r="AN160" s="46"/>
      <c r="AO160" s="144"/>
      <c r="AP160" s="144"/>
      <c r="AQ160" s="144"/>
      <c r="AR160" s="47"/>
      <c r="AS160" s="46"/>
      <c r="AT160" s="46"/>
      <c r="AU160" s="46"/>
      <c r="AV160" s="47"/>
      <c r="AW160" s="47"/>
    </row>
    <row r="161" spans="4:49" ht="270" x14ac:dyDescent="0.15">
      <c r="D161" s="62">
        <v>41</v>
      </c>
      <c r="E161" s="63" t="str">
        <f>IF(D161="","",VLOOKUP(D161,'[3]DATOS INICIALES'!$B$10:$D$69,2,0))</f>
        <v>CONSORCIO CORREDOR POPAYÁN ECI</v>
      </c>
      <c r="F161" s="64">
        <f>IF(D161="","",VLOOKUP(D161,'[3]DATOS INICIALES'!$B$10:$D$69,3,0))</f>
        <v>0</v>
      </c>
      <c r="G161" s="65">
        <f>SUM(G162:G164)</f>
        <v>1</v>
      </c>
      <c r="H161" s="64"/>
      <c r="I161" s="30" t="s">
        <v>55</v>
      </c>
      <c r="J161" s="30" t="str">
        <f>IF(I161="SI","CUMPLE", "NO CUMPLE")</f>
        <v>CUMPLE</v>
      </c>
      <c r="K161" s="30" t="s">
        <v>55</v>
      </c>
      <c r="L161" s="30" t="str">
        <f>IF(K161="SI","CUMPLE", "NO CUMPLE")</f>
        <v>CUMPLE</v>
      </c>
      <c r="M161" s="51">
        <f>+IFERROR(VLOOKUP(D161,'[3]DATOS INICIALES'!$B$10:$G$100,6,0),0)</f>
        <v>69477143896</v>
      </c>
      <c r="N161" s="30" t="str">
        <f>IF(M161&lt;='[3]DATOS INICIALES'!$C$6,"CUMPLE","NO CUMPLE")</f>
        <v>CUMPLE</v>
      </c>
      <c r="O161" s="30" t="str">
        <f>IF(AND(J161="CUMPLE",L161="CUMPLE",N161="CUMPLE"),"CUMPLE","NO CUMPLE")</f>
        <v>CUMPLE</v>
      </c>
      <c r="P161" s="31"/>
      <c r="Q161" s="31"/>
      <c r="R161" s="32" t="str">
        <f>IF(AND(R162="CUMPLE",R163="CUMPLE",R164="CUMPLE"),"CUMPLE","NO CUMPLE")</f>
        <v>CUMPLE</v>
      </c>
      <c r="S161" s="32" t="str">
        <f>IF(AND(S162="CUMPLE",S163="CUMPLE",S164="CUMPLE"),"CUMPLE","NO CUMPLE")</f>
        <v>NO CUMPLE</v>
      </c>
      <c r="T161" s="32" t="str">
        <f t="shared" si="38"/>
        <v>NO CUMPLE</v>
      </c>
      <c r="U161" s="33">
        <f t="shared" ref="U161:AB161" si="43">+(U162*$G162)+(U163*$G163)+(U164*$G164)</f>
        <v>35674043979.489998</v>
      </c>
      <c r="V161" s="33">
        <f t="shared" si="43"/>
        <v>38525428636.020004</v>
      </c>
      <c r="W161" s="33">
        <f t="shared" si="43"/>
        <v>22001477630.760002</v>
      </c>
      <c r="X161" s="33">
        <f t="shared" si="43"/>
        <v>22407772277.459999</v>
      </c>
      <c r="Y161" s="33">
        <f t="shared" si="43"/>
        <v>16117656358.560001</v>
      </c>
      <c r="Z161" s="33">
        <f t="shared" si="43"/>
        <v>5623492233.3600006</v>
      </c>
      <c r="AA161" s="33">
        <f t="shared" si="43"/>
        <v>107506275.70000002</v>
      </c>
      <c r="AB161" s="34">
        <f t="shared" si="43"/>
        <v>13672566348.73</v>
      </c>
      <c r="AC161" s="34"/>
      <c r="AD161" s="32" t="str">
        <f>IF(AB161&gt;=$AD$13,"CUMPLE","NO CUMPLE")</f>
        <v>CUMPLE</v>
      </c>
      <c r="AE161" s="75">
        <f>+MAX(AE162:AE164)</f>
        <v>32630562471</v>
      </c>
      <c r="AF161" s="32"/>
      <c r="AG161" s="32" t="str">
        <f>+IF(AE161&gt;=$AG$13,"CUMPLE","NO CUMPLE")</f>
        <v>CUMPLE</v>
      </c>
      <c r="AH161" s="32">
        <f>IF(E161="","",(IF(W161=0,"INDETERMINADO",+U161/W161)))</f>
        <v>1.6214385496369819</v>
      </c>
      <c r="AI161" s="32" t="str">
        <f>IF(OR(AH161="",AH161&lt;$AI$13),"NO CUMPLE","CUMPLE")</f>
        <v>CUMPLE</v>
      </c>
      <c r="AJ161" s="32">
        <f>IF(U162="","",+X161/V161)</f>
        <v>0.58163589791988635</v>
      </c>
      <c r="AK161" s="32" t="str">
        <f>IF(OR(AJ161="",AJ161&gt;$AK$13),"NO CUMPLE","CUMPLE")</f>
        <v>CUMPLE</v>
      </c>
      <c r="AL161" s="32">
        <f>IF(AA161=0,"INDET",(IF(U162="","",Z161/AA161)))</f>
        <v>52.308501961806861</v>
      </c>
      <c r="AM161" s="32" t="str">
        <f>IF(OR(AL161="",AL161&lt;$AM$13),"NO CUMPLE","CUMPLE")</f>
        <v>CUMPLE</v>
      </c>
      <c r="AN161" s="32" t="str">
        <f>IF(AND(AG161="CUMPLE",AI161="CUMPLE",AK161="CUMPLE",AM161="CUMPLE",AD161="CUMPLE"),"CUMPLE","NO CUMPLE")</f>
        <v>CUMPLE</v>
      </c>
      <c r="AO161" s="142">
        <f>IF(U162="","",+Z161/Y161)</f>
        <v>0.34890260148606494</v>
      </c>
      <c r="AP161" s="143" t="str">
        <f>IF(OR(AO161="",AO161&lt;$AP$13),"NO CUMPLE","CUMPLE")</f>
        <v>CUMPLE</v>
      </c>
      <c r="AQ161" s="142">
        <f>IF(U162="","",+Z161/V161)</f>
        <v>0.14596832358413322</v>
      </c>
      <c r="AR161" s="36" t="str">
        <f>IF(OR(AQ161="",AQ161&lt;$AR$13),"NO CUMPLE","CUMPLE")</f>
        <v>CUMPLE</v>
      </c>
      <c r="AS161" s="36" t="str">
        <f>IF(U162="","",IF(AND(AP161="CUMPLE",AR161="CUMPLE"),"CUMPLE","NO CUMPLE"))</f>
        <v>CUMPLE</v>
      </c>
      <c r="AT161" s="36" t="s">
        <v>58</v>
      </c>
      <c r="AU161" s="32" t="str">
        <f>IF(U162="","",IF(AND(O161="CUMPLE",AS161="CUMPLE",AN161="CUMPLE",T161="CUMPLE",AT161="CUMPLE"),"CUMPLE","NO CUMPLE"))</f>
        <v>NO CUMPLE</v>
      </c>
      <c r="AV161" s="147" t="s">
        <v>248</v>
      </c>
      <c r="AW161" s="37"/>
    </row>
    <row r="162" spans="4:49" ht="15" x14ac:dyDescent="0.2">
      <c r="D162" s="38">
        <f>+D161+0.1</f>
        <v>41.1</v>
      </c>
      <c r="E162" s="39" t="s">
        <v>249</v>
      </c>
      <c r="F162" s="40">
        <v>810002747</v>
      </c>
      <c r="G162" s="41">
        <v>0.34</v>
      </c>
      <c r="H162" s="42"/>
      <c r="I162" s="42"/>
      <c r="J162" s="42"/>
      <c r="K162" s="42"/>
      <c r="L162" s="42"/>
      <c r="M162" s="66"/>
      <c r="N162" s="42"/>
      <c r="O162" s="42"/>
      <c r="P162" s="43">
        <v>46031</v>
      </c>
      <c r="Q162" s="43">
        <v>45771</v>
      </c>
      <c r="R162" s="38" t="str">
        <f>IF((NETWORKDAYS(Q162,P162)-1)&gt;=10,"CUMPLE","NO CUMPLE")</f>
        <v>CUMPLE</v>
      </c>
      <c r="S162" s="38" t="str">
        <f>IF(('[3]DATOS INICIALES'!$C$4-P162)&lt;30,"CUMPLE","NO CUMPLE")</f>
        <v>NO CUMPLE</v>
      </c>
      <c r="T162" s="38" t="str">
        <f t="shared" si="38"/>
        <v>NO CUMPLE</v>
      </c>
      <c r="U162" s="157">
        <v>13933085140</v>
      </c>
      <c r="V162" s="157">
        <v>15428398308</v>
      </c>
      <c r="W162" s="157">
        <v>7929155805</v>
      </c>
      <c r="X162" s="157">
        <v>9124140060</v>
      </c>
      <c r="Y162" s="157">
        <v>6304258248</v>
      </c>
      <c r="Z162" s="157">
        <v>442036440</v>
      </c>
      <c r="AA162" s="157">
        <v>24011329</v>
      </c>
      <c r="AB162" s="44">
        <f>+U162-W162</f>
        <v>6003929335</v>
      </c>
      <c r="AC162" s="48"/>
      <c r="AD162" s="47"/>
      <c r="AE162" s="67">
        <f>+U162-W162</f>
        <v>6003929335</v>
      </c>
      <c r="AF162" s="47"/>
      <c r="AG162" s="68"/>
      <c r="AH162" s="45"/>
      <c r="AI162" s="45"/>
      <c r="AJ162" s="45"/>
      <c r="AK162" s="45"/>
      <c r="AL162" s="45"/>
      <c r="AM162" s="45"/>
      <c r="AN162" s="46"/>
      <c r="AO162" s="144"/>
      <c r="AP162" s="144"/>
      <c r="AQ162" s="144"/>
      <c r="AR162" s="47"/>
      <c r="AS162" s="46"/>
      <c r="AT162" s="46"/>
      <c r="AU162" s="46"/>
      <c r="AV162" s="47"/>
      <c r="AW162" s="47"/>
    </row>
    <row r="163" spans="4:49" ht="15" x14ac:dyDescent="0.2">
      <c r="D163" s="38">
        <f>+D162+0.1</f>
        <v>41.2</v>
      </c>
      <c r="E163" s="39" t="s">
        <v>250</v>
      </c>
      <c r="F163" s="40">
        <v>901289190</v>
      </c>
      <c r="G163" s="41">
        <v>0.33</v>
      </c>
      <c r="H163" s="42"/>
      <c r="I163" s="42"/>
      <c r="J163" s="42"/>
      <c r="K163" s="42"/>
      <c r="L163" s="42"/>
      <c r="M163" s="66"/>
      <c r="N163" s="42"/>
      <c r="O163" s="42"/>
      <c r="P163" s="43">
        <v>46065</v>
      </c>
      <c r="Q163" s="43">
        <v>45755</v>
      </c>
      <c r="R163" s="38" t="str">
        <f>IF((NETWORKDAYS(Q163,P163)-1)&gt;=10,"CUMPLE","NO CUMPLE")</f>
        <v>CUMPLE</v>
      </c>
      <c r="S163" s="38" t="str">
        <f>IF(('[3]DATOS INICIALES'!$C$4-P163)&lt;30,"CUMPLE","NO CUMPLE")</f>
        <v>CUMPLE</v>
      </c>
      <c r="T163" s="38" t="str">
        <f t="shared" si="38"/>
        <v>CUMPLE</v>
      </c>
      <c r="U163" s="93">
        <v>5802575333</v>
      </c>
      <c r="V163" s="93">
        <v>5815074842</v>
      </c>
      <c r="W163" s="93">
        <v>3186985153</v>
      </c>
      <c r="X163" s="93">
        <v>3186985153</v>
      </c>
      <c r="Y163" s="93">
        <v>2628089689</v>
      </c>
      <c r="Z163" s="93">
        <v>1983410517</v>
      </c>
      <c r="AA163" s="93">
        <v>28746812</v>
      </c>
      <c r="AB163" s="44">
        <f>+U163-W163</f>
        <v>2615590180</v>
      </c>
      <c r="AC163" s="48"/>
      <c r="AD163" s="47"/>
      <c r="AE163" s="67">
        <f>+U163-W163</f>
        <v>2615590180</v>
      </c>
      <c r="AF163" s="47"/>
      <c r="AG163" s="68"/>
      <c r="AH163" s="45"/>
      <c r="AI163" s="45"/>
      <c r="AJ163" s="45"/>
      <c r="AK163" s="45"/>
      <c r="AL163" s="45"/>
      <c r="AM163" s="45"/>
      <c r="AN163" s="46"/>
      <c r="AO163" s="144"/>
      <c r="AP163" s="144"/>
      <c r="AQ163" s="144"/>
      <c r="AR163" s="47"/>
      <c r="AS163" s="46"/>
      <c r="AT163" s="46"/>
      <c r="AU163" s="46"/>
      <c r="AV163" s="47"/>
      <c r="AW163" s="47"/>
    </row>
    <row r="164" spans="4:49" ht="15" x14ac:dyDescent="0.2">
      <c r="D164" s="38">
        <f>+D163+0.1</f>
        <v>41.300000000000004</v>
      </c>
      <c r="E164" s="39" t="s">
        <v>251</v>
      </c>
      <c r="F164" s="40">
        <v>900295495</v>
      </c>
      <c r="G164" s="41">
        <v>0.33</v>
      </c>
      <c r="H164" s="42"/>
      <c r="I164" s="42"/>
      <c r="J164" s="42"/>
      <c r="K164" s="42"/>
      <c r="L164" s="42"/>
      <c r="M164" s="66"/>
      <c r="N164" s="42"/>
      <c r="O164" s="42"/>
      <c r="P164" s="43">
        <v>46080</v>
      </c>
      <c r="Q164" s="43">
        <v>45786</v>
      </c>
      <c r="R164" s="38" t="str">
        <f>IF((NETWORKDAYS(Q164,P164)-1)&gt;=10,"CUMPLE","NO CUMPLE")</f>
        <v>CUMPLE</v>
      </c>
      <c r="S164" s="38" t="str">
        <f>IF(('[3]DATOS INICIALES'!$C$4-P164)&lt;30,"CUMPLE","NO CUMPLE")</f>
        <v>CUMPLE</v>
      </c>
      <c r="T164" s="38" t="str">
        <f t="shared" si="38"/>
        <v>CUMPLE</v>
      </c>
      <c r="U164" s="93">
        <v>87945288400</v>
      </c>
      <c r="V164" s="93">
        <v>95032722768</v>
      </c>
      <c r="W164" s="93">
        <v>55314725929</v>
      </c>
      <c r="X164" s="93">
        <v>55314725929</v>
      </c>
      <c r="Y164" s="93">
        <v>39717996839</v>
      </c>
      <c r="Z164" s="93">
        <v>14602043555</v>
      </c>
      <c r="AA164" s="93">
        <v>272290836</v>
      </c>
      <c r="AB164" s="44">
        <f>+U164-W164</f>
        <v>32630562471</v>
      </c>
      <c r="AC164" s="48"/>
      <c r="AD164" s="47"/>
      <c r="AE164" s="67">
        <f>+U164-W164</f>
        <v>32630562471</v>
      </c>
      <c r="AF164" s="47"/>
      <c r="AG164" s="68"/>
      <c r="AH164" s="45"/>
      <c r="AI164" s="45"/>
      <c r="AJ164" s="45"/>
      <c r="AK164" s="45"/>
      <c r="AL164" s="45"/>
      <c r="AM164" s="45"/>
      <c r="AN164" s="46"/>
      <c r="AO164" s="144"/>
      <c r="AP164" s="144"/>
      <c r="AQ164" s="144"/>
      <c r="AR164" s="47"/>
      <c r="AS164" s="46"/>
      <c r="AT164" s="46"/>
      <c r="AU164" s="46"/>
      <c r="AV164" s="47"/>
      <c r="AW164" s="47"/>
    </row>
  </sheetData>
  <sortState xmlns:xlrd2="http://schemas.microsoft.com/office/spreadsheetml/2017/richdata2" ref="A16:BN555">
    <sortCondition ref="D16:D555"/>
  </sortState>
  <mergeCells count="50">
    <mergeCell ref="AW11:AW14"/>
    <mergeCell ref="E2:AV6"/>
    <mergeCell ref="E7:AV7"/>
    <mergeCell ref="E8:AV8"/>
    <mergeCell ref="D11:H11"/>
    <mergeCell ref="P11:T11"/>
    <mergeCell ref="U11:AA11"/>
    <mergeCell ref="I11:N11"/>
    <mergeCell ref="AV11:AV14"/>
    <mergeCell ref="AB12:AD12"/>
    <mergeCell ref="AH12:AI12"/>
    <mergeCell ref="AJ12:AK12"/>
    <mergeCell ref="AN12:AN14"/>
    <mergeCell ref="AO12:AP12"/>
    <mergeCell ref="AB14:AC14"/>
    <mergeCell ref="AE12:AG12"/>
    <mergeCell ref="AU11:AU14"/>
    <mergeCell ref="AL12:AM12"/>
    <mergeCell ref="AB11:AN11"/>
    <mergeCell ref="AO11:AS11"/>
    <mergeCell ref="AA12:AA14"/>
    <mergeCell ref="AQ12:AR12"/>
    <mergeCell ref="AS12:AS14"/>
    <mergeCell ref="AT11:AT14"/>
    <mergeCell ref="G12:G14"/>
    <mergeCell ref="AE14:AF14"/>
    <mergeCell ref="W12:W14"/>
    <mergeCell ref="X12:X14"/>
    <mergeCell ref="Y12:Y14"/>
    <mergeCell ref="P13:P14"/>
    <mergeCell ref="O11:O14"/>
    <mergeCell ref="V12:V14"/>
    <mergeCell ref="U12:U14"/>
    <mergeCell ref="Z12:Z14"/>
    <mergeCell ref="A2:C2"/>
    <mergeCell ref="S13:S14"/>
    <mergeCell ref="T12:T14"/>
    <mergeCell ref="Q13:Q14"/>
    <mergeCell ref="I12:I14"/>
    <mergeCell ref="J12:J14"/>
    <mergeCell ref="K12:K14"/>
    <mergeCell ref="L12:L14"/>
    <mergeCell ref="M12:M14"/>
    <mergeCell ref="N12:N14"/>
    <mergeCell ref="R13:R14"/>
    <mergeCell ref="H12:H14"/>
    <mergeCell ref="P12:S12"/>
    <mergeCell ref="D12:D14"/>
    <mergeCell ref="E12:E14"/>
    <mergeCell ref="F12:F14"/>
  </mergeCells>
  <conditionalFormatting sqref="AN12:AN14 AS12:AS14">
    <cfRule type="cellIs" dxfId="198" priority="2638" stopIfTrue="1" operator="equal">
      <formula>"NO ADMISIBLE"</formula>
    </cfRule>
  </conditionalFormatting>
  <conditionalFormatting sqref="G50:O53">
    <cfRule type="cellIs" dxfId="197" priority="203" stopIfTrue="1" operator="equal">
      <formula>"NO ADMISIBLE"</formula>
    </cfRule>
  </conditionalFormatting>
  <conditionalFormatting sqref="E50:F50">
    <cfRule type="cellIs" dxfId="196" priority="202" stopIfTrue="1" operator="equal">
      <formula>"NO ADMISIBLE"</formula>
    </cfRule>
  </conditionalFormatting>
  <conditionalFormatting sqref="E51:E53">
    <cfRule type="cellIs" dxfId="195" priority="201" stopIfTrue="1" operator="equal">
      <formula>"NO ADMISIBLE"</formula>
    </cfRule>
  </conditionalFormatting>
  <conditionalFormatting sqref="E51:E52">
    <cfRule type="cellIs" dxfId="194" priority="200" stopIfTrue="1" operator="equal">
      <formula>"NO ADMISIBLE"</formula>
    </cfRule>
  </conditionalFormatting>
  <conditionalFormatting sqref="E53">
    <cfRule type="cellIs" dxfId="193" priority="199" stopIfTrue="1" operator="equal">
      <formula>"NO ADMISIBLE"</formula>
    </cfRule>
  </conditionalFormatting>
  <conditionalFormatting sqref="G46:O49">
    <cfRule type="cellIs" dxfId="192" priority="198" stopIfTrue="1" operator="equal">
      <formula>"NO ADMISIBLE"</formula>
    </cfRule>
  </conditionalFormatting>
  <conditionalFormatting sqref="E46:F46">
    <cfRule type="cellIs" dxfId="191" priority="197" stopIfTrue="1" operator="equal">
      <formula>"NO ADMISIBLE"</formula>
    </cfRule>
  </conditionalFormatting>
  <conditionalFormatting sqref="E47:E49">
    <cfRule type="cellIs" dxfId="190" priority="196" stopIfTrue="1" operator="equal">
      <formula>"NO ADMISIBLE"</formula>
    </cfRule>
  </conditionalFormatting>
  <conditionalFormatting sqref="E47:E48">
    <cfRule type="cellIs" dxfId="189" priority="195" stopIfTrue="1" operator="equal">
      <formula>"NO ADMISIBLE"</formula>
    </cfRule>
  </conditionalFormatting>
  <conditionalFormatting sqref="E49">
    <cfRule type="cellIs" dxfId="188" priority="194" stopIfTrue="1" operator="equal">
      <formula>"NO ADMISIBLE"</formula>
    </cfRule>
  </conditionalFormatting>
  <conditionalFormatting sqref="G43:O45">
    <cfRule type="cellIs" dxfId="187" priority="193" stopIfTrue="1" operator="equal">
      <formula>"NO ADMISIBLE"</formula>
    </cfRule>
  </conditionalFormatting>
  <conditionalFormatting sqref="E43:F43">
    <cfRule type="cellIs" dxfId="186" priority="192" stopIfTrue="1" operator="equal">
      <formula>"NO ADMISIBLE"</formula>
    </cfRule>
  </conditionalFormatting>
  <conditionalFormatting sqref="E44:E45">
    <cfRule type="cellIs" dxfId="185" priority="191" stopIfTrue="1" operator="equal">
      <formula>"NO ADMISIBLE"</formula>
    </cfRule>
  </conditionalFormatting>
  <conditionalFormatting sqref="E44:E45">
    <cfRule type="cellIs" dxfId="184" priority="190" stopIfTrue="1" operator="equal">
      <formula>"NO ADMISIBLE"</formula>
    </cfRule>
  </conditionalFormatting>
  <conditionalFormatting sqref="G39:O42">
    <cfRule type="cellIs" dxfId="183" priority="189" stopIfTrue="1" operator="equal">
      <formula>"NO ADMISIBLE"</formula>
    </cfRule>
  </conditionalFormatting>
  <conditionalFormatting sqref="E39:F39">
    <cfRule type="cellIs" dxfId="182" priority="188" stopIfTrue="1" operator="equal">
      <formula>"NO ADMISIBLE"</formula>
    </cfRule>
  </conditionalFormatting>
  <conditionalFormatting sqref="E40:E42">
    <cfRule type="cellIs" dxfId="181" priority="187" stopIfTrue="1" operator="equal">
      <formula>"NO ADMISIBLE"</formula>
    </cfRule>
  </conditionalFormatting>
  <conditionalFormatting sqref="E40:E41">
    <cfRule type="cellIs" dxfId="180" priority="186" stopIfTrue="1" operator="equal">
      <formula>"NO ADMISIBLE"</formula>
    </cfRule>
  </conditionalFormatting>
  <conditionalFormatting sqref="E42">
    <cfRule type="cellIs" dxfId="179" priority="185" stopIfTrue="1" operator="equal">
      <formula>"NO ADMISIBLE"</formula>
    </cfRule>
  </conditionalFormatting>
  <conditionalFormatting sqref="G36:O38">
    <cfRule type="cellIs" dxfId="178" priority="184" stopIfTrue="1" operator="equal">
      <formula>"NO ADMISIBLE"</formula>
    </cfRule>
  </conditionalFormatting>
  <conditionalFormatting sqref="E36:F36">
    <cfRule type="cellIs" dxfId="177" priority="183" stopIfTrue="1" operator="equal">
      <formula>"NO ADMISIBLE"</formula>
    </cfRule>
  </conditionalFormatting>
  <conditionalFormatting sqref="E37:E38">
    <cfRule type="cellIs" dxfId="176" priority="182" stopIfTrue="1" operator="equal">
      <formula>"NO ADMISIBLE"</formula>
    </cfRule>
  </conditionalFormatting>
  <conditionalFormatting sqref="E37:E38">
    <cfRule type="cellIs" dxfId="175" priority="181" stopIfTrue="1" operator="equal">
      <formula>"NO ADMISIBLE"</formula>
    </cfRule>
  </conditionalFormatting>
  <conditionalFormatting sqref="F30">
    <cfRule type="cellIs" dxfId="174" priority="174" stopIfTrue="1" operator="equal">
      <formula>"NO ADMISIBLE"</formula>
    </cfRule>
  </conditionalFormatting>
  <conditionalFormatting sqref="E31:E35">
    <cfRule type="cellIs" dxfId="173" priority="173" stopIfTrue="1" operator="equal">
      <formula>"NO ADMISIBLE"</formula>
    </cfRule>
  </conditionalFormatting>
  <conditionalFormatting sqref="E31:E32">
    <cfRule type="cellIs" dxfId="172" priority="172" stopIfTrue="1" operator="equal">
      <formula>"NO ADMISIBLE"</formula>
    </cfRule>
  </conditionalFormatting>
  <conditionalFormatting sqref="E33:E35">
    <cfRule type="cellIs" dxfId="171" priority="171" stopIfTrue="1" operator="equal">
      <formula>"NO ADMISIBLE"</formula>
    </cfRule>
  </conditionalFormatting>
  <conditionalFormatting sqref="E30">
    <cfRule type="cellIs" dxfId="170" priority="170" stopIfTrue="1" operator="equal">
      <formula>"NO ADMISIBLE"</formula>
    </cfRule>
  </conditionalFormatting>
  <conditionalFormatting sqref="G30:O35">
    <cfRule type="cellIs" dxfId="169" priority="175" stopIfTrue="1" operator="equal">
      <formula>"NO ADMISIBLE"</formula>
    </cfRule>
  </conditionalFormatting>
  <conditionalFormatting sqref="G23:O26">
    <cfRule type="cellIs" dxfId="168" priority="165" stopIfTrue="1" operator="equal">
      <formula>"NO ADMISIBLE"</formula>
    </cfRule>
  </conditionalFormatting>
  <conditionalFormatting sqref="G27:O29">
    <cfRule type="cellIs" dxfId="167" priority="169" stopIfTrue="1" operator="equal">
      <formula>"NO ADMISIBLE"</formula>
    </cfRule>
  </conditionalFormatting>
  <conditionalFormatting sqref="E27:F27">
    <cfRule type="cellIs" dxfId="166" priority="168" stopIfTrue="1" operator="equal">
      <formula>"NO ADMISIBLE"</formula>
    </cfRule>
  </conditionalFormatting>
  <conditionalFormatting sqref="E28:E29">
    <cfRule type="cellIs" dxfId="165" priority="167" stopIfTrue="1" operator="equal">
      <formula>"NO ADMISIBLE"</formula>
    </cfRule>
  </conditionalFormatting>
  <conditionalFormatting sqref="E28:E29">
    <cfRule type="cellIs" dxfId="164" priority="166" stopIfTrue="1" operator="equal">
      <formula>"NO ADMISIBLE"</formula>
    </cfRule>
  </conditionalFormatting>
  <conditionalFormatting sqref="E23:F23">
    <cfRule type="cellIs" dxfId="163" priority="164" stopIfTrue="1" operator="equal">
      <formula>"NO ADMISIBLE"</formula>
    </cfRule>
  </conditionalFormatting>
  <conditionalFormatting sqref="E24:E26">
    <cfRule type="cellIs" dxfId="162" priority="163" stopIfTrue="1" operator="equal">
      <formula>"NO ADMISIBLE"</formula>
    </cfRule>
  </conditionalFormatting>
  <conditionalFormatting sqref="E24:E25">
    <cfRule type="cellIs" dxfId="161" priority="162" stopIfTrue="1" operator="equal">
      <formula>"NO ADMISIBLE"</formula>
    </cfRule>
  </conditionalFormatting>
  <conditionalFormatting sqref="E26">
    <cfRule type="cellIs" dxfId="160" priority="161" stopIfTrue="1" operator="equal">
      <formula>"NO ADMISIBLE"</formula>
    </cfRule>
  </conditionalFormatting>
  <conditionalFormatting sqref="G19:O22">
    <cfRule type="cellIs" dxfId="159" priority="160" stopIfTrue="1" operator="equal">
      <formula>"NO ADMISIBLE"</formula>
    </cfRule>
  </conditionalFormatting>
  <conditionalFormatting sqref="E19:F19">
    <cfRule type="cellIs" dxfId="158" priority="159" stopIfTrue="1" operator="equal">
      <formula>"NO ADMISIBLE"</formula>
    </cfRule>
  </conditionalFormatting>
  <conditionalFormatting sqref="E20:E22">
    <cfRule type="cellIs" dxfId="157" priority="158" stopIfTrue="1" operator="equal">
      <formula>"NO ADMISIBLE"</formula>
    </cfRule>
  </conditionalFormatting>
  <conditionalFormatting sqref="E20:E21">
    <cfRule type="cellIs" dxfId="156" priority="157" stopIfTrue="1" operator="equal">
      <formula>"NO ADMISIBLE"</formula>
    </cfRule>
  </conditionalFormatting>
  <conditionalFormatting sqref="E22">
    <cfRule type="cellIs" dxfId="155" priority="156" stopIfTrue="1" operator="equal">
      <formula>"NO ADMISIBLE"</formula>
    </cfRule>
  </conditionalFormatting>
  <conditionalFormatting sqref="G16:O18">
    <cfRule type="cellIs" dxfId="154" priority="155" stopIfTrue="1" operator="equal">
      <formula>"NO ADMISIBLE"</formula>
    </cfRule>
  </conditionalFormatting>
  <conditionalFormatting sqref="E16:F16">
    <cfRule type="cellIs" dxfId="153" priority="154" stopIfTrue="1" operator="equal">
      <formula>"NO ADMISIBLE"</formula>
    </cfRule>
  </conditionalFormatting>
  <conditionalFormatting sqref="E17:E18">
    <cfRule type="cellIs" dxfId="152" priority="153" stopIfTrue="1" operator="equal">
      <formula>"NO ADMISIBLE"</formula>
    </cfRule>
  </conditionalFormatting>
  <conditionalFormatting sqref="E17:E18">
    <cfRule type="cellIs" dxfId="151" priority="152" stopIfTrue="1" operator="equal">
      <formula>"NO ADMISIBLE"</formula>
    </cfRule>
  </conditionalFormatting>
  <conditionalFormatting sqref="G86:O87">
    <cfRule type="cellIs" dxfId="148" priority="149" stopIfTrue="1" operator="equal">
      <formula>"NO ADMISIBLE"</formula>
    </cfRule>
  </conditionalFormatting>
  <conditionalFormatting sqref="E86:F86">
    <cfRule type="cellIs" dxfId="147" priority="148" stopIfTrue="1" operator="equal">
      <formula>"NO ADMISIBLE"</formula>
    </cfRule>
  </conditionalFormatting>
  <conditionalFormatting sqref="E87">
    <cfRule type="cellIs" dxfId="146" priority="147" stopIfTrue="1" operator="equal">
      <formula>"NO ADMISIBLE"</formula>
    </cfRule>
  </conditionalFormatting>
  <conditionalFormatting sqref="E87">
    <cfRule type="cellIs" dxfId="145" priority="146" stopIfTrue="1" operator="equal">
      <formula>"NO ADMISIBLE"</formula>
    </cfRule>
  </conditionalFormatting>
  <conditionalFormatting sqref="G82:O85">
    <cfRule type="cellIs" dxfId="144" priority="145" stopIfTrue="1" operator="equal">
      <formula>"NO ADMISIBLE"</formula>
    </cfRule>
  </conditionalFormatting>
  <conditionalFormatting sqref="E82:F82">
    <cfRule type="cellIs" dxfId="143" priority="144" stopIfTrue="1" operator="equal">
      <formula>"NO ADMISIBLE"</formula>
    </cfRule>
  </conditionalFormatting>
  <conditionalFormatting sqref="E83:E84">
    <cfRule type="cellIs" dxfId="142" priority="143" stopIfTrue="1" operator="equal">
      <formula>"NO ADMISIBLE"</formula>
    </cfRule>
  </conditionalFormatting>
  <conditionalFormatting sqref="E83:E84">
    <cfRule type="cellIs" dxfId="141" priority="142" stopIfTrue="1" operator="equal">
      <formula>"NO ADMISIBLE"</formula>
    </cfRule>
  </conditionalFormatting>
  <conditionalFormatting sqref="E85">
    <cfRule type="cellIs" dxfId="140" priority="141" stopIfTrue="1" operator="equal">
      <formula>"NO ADMISIBLE"</formula>
    </cfRule>
  </conditionalFormatting>
  <conditionalFormatting sqref="E85">
    <cfRule type="cellIs" dxfId="139" priority="140" stopIfTrue="1" operator="equal">
      <formula>"NO ADMISIBLE"</formula>
    </cfRule>
  </conditionalFormatting>
  <conditionalFormatting sqref="G79:O81">
    <cfRule type="cellIs" dxfId="138" priority="139" stopIfTrue="1" operator="equal">
      <formula>"NO ADMISIBLE"</formula>
    </cfRule>
  </conditionalFormatting>
  <conditionalFormatting sqref="E79:F79">
    <cfRule type="cellIs" dxfId="137" priority="138" stopIfTrue="1" operator="equal">
      <formula>"NO ADMISIBLE"</formula>
    </cfRule>
  </conditionalFormatting>
  <conditionalFormatting sqref="E80:E81">
    <cfRule type="cellIs" dxfId="136" priority="137" stopIfTrue="1" operator="equal">
      <formula>"NO ADMISIBLE"</formula>
    </cfRule>
  </conditionalFormatting>
  <conditionalFormatting sqref="E80:E81">
    <cfRule type="cellIs" dxfId="135" priority="136" stopIfTrue="1" operator="equal">
      <formula>"NO ADMISIBLE"</formula>
    </cfRule>
  </conditionalFormatting>
  <conditionalFormatting sqref="G75:O78">
    <cfRule type="cellIs" dxfId="134" priority="135" stopIfTrue="1" operator="equal">
      <formula>"NO ADMISIBLE"</formula>
    </cfRule>
  </conditionalFormatting>
  <conditionalFormatting sqref="E75:F75">
    <cfRule type="cellIs" dxfId="133" priority="134" stopIfTrue="1" operator="equal">
      <formula>"NO ADMISIBLE"</formula>
    </cfRule>
  </conditionalFormatting>
  <conditionalFormatting sqref="E76:E77">
    <cfRule type="cellIs" dxfId="132" priority="133" stopIfTrue="1" operator="equal">
      <formula>"NO ADMISIBLE"</formula>
    </cfRule>
  </conditionalFormatting>
  <conditionalFormatting sqref="E76:E77">
    <cfRule type="cellIs" dxfId="131" priority="132" stopIfTrue="1" operator="equal">
      <formula>"NO ADMISIBLE"</formula>
    </cfRule>
  </conditionalFormatting>
  <conditionalFormatting sqref="E78">
    <cfRule type="cellIs" dxfId="130" priority="131" stopIfTrue="1" operator="equal">
      <formula>"NO ADMISIBLE"</formula>
    </cfRule>
  </conditionalFormatting>
  <conditionalFormatting sqref="E78">
    <cfRule type="cellIs" dxfId="129" priority="130" stopIfTrue="1" operator="equal">
      <formula>"NO ADMISIBLE"</formula>
    </cfRule>
  </conditionalFormatting>
  <conditionalFormatting sqref="G72:O74">
    <cfRule type="cellIs" dxfId="128" priority="129" stopIfTrue="1" operator="equal">
      <formula>"NO ADMISIBLE"</formula>
    </cfRule>
  </conditionalFormatting>
  <conditionalFormatting sqref="E72:F72">
    <cfRule type="cellIs" dxfId="127" priority="128" stopIfTrue="1" operator="equal">
      <formula>"NO ADMISIBLE"</formula>
    </cfRule>
  </conditionalFormatting>
  <conditionalFormatting sqref="E73:E74">
    <cfRule type="cellIs" dxfId="126" priority="127" stopIfTrue="1" operator="equal">
      <formula>"NO ADMISIBLE"</formula>
    </cfRule>
  </conditionalFormatting>
  <conditionalFormatting sqref="E73:E74">
    <cfRule type="cellIs" dxfId="125" priority="126" stopIfTrue="1" operator="equal">
      <formula>"NO ADMISIBLE"</formula>
    </cfRule>
  </conditionalFormatting>
  <conditionalFormatting sqref="G68:O71">
    <cfRule type="cellIs" dxfId="122" priority="123" stopIfTrue="1" operator="equal">
      <formula>"NO ADMISIBLE"</formula>
    </cfRule>
  </conditionalFormatting>
  <conditionalFormatting sqref="E68:F68">
    <cfRule type="cellIs" dxfId="121" priority="122" stopIfTrue="1" operator="equal">
      <formula>"NO ADMISIBLE"</formula>
    </cfRule>
  </conditionalFormatting>
  <conditionalFormatting sqref="E69:E70">
    <cfRule type="cellIs" dxfId="120" priority="121" stopIfTrue="1" operator="equal">
      <formula>"NO ADMISIBLE"</formula>
    </cfRule>
  </conditionalFormatting>
  <conditionalFormatting sqref="E69:E70">
    <cfRule type="cellIs" dxfId="119" priority="120" stopIfTrue="1" operator="equal">
      <formula>"NO ADMISIBLE"</formula>
    </cfRule>
  </conditionalFormatting>
  <conditionalFormatting sqref="E71">
    <cfRule type="cellIs" dxfId="118" priority="119" stopIfTrue="1" operator="equal">
      <formula>"NO ADMISIBLE"</formula>
    </cfRule>
  </conditionalFormatting>
  <conditionalFormatting sqref="E71">
    <cfRule type="cellIs" dxfId="117" priority="118" stopIfTrue="1" operator="equal">
      <formula>"NO ADMISIBLE"</formula>
    </cfRule>
  </conditionalFormatting>
  <conditionalFormatting sqref="G65:O67">
    <cfRule type="cellIs" dxfId="116" priority="117" stopIfTrue="1" operator="equal">
      <formula>"NO ADMISIBLE"</formula>
    </cfRule>
  </conditionalFormatting>
  <conditionalFormatting sqref="E65:F65">
    <cfRule type="cellIs" dxfId="115" priority="116" stopIfTrue="1" operator="equal">
      <formula>"NO ADMISIBLE"</formula>
    </cfRule>
  </conditionalFormatting>
  <conditionalFormatting sqref="E66:E67">
    <cfRule type="cellIs" dxfId="114" priority="115" stopIfTrue="1" operator="equal">
      <formula>"NO ADMISIBLE"</formula>
    </cfRule>
  </conditionalFormatting>
  <conditionalFormatting sqref="E66:E67">
    <cfRule type="cellIs" dxfId="113" priority="114" stopIfTrue="1" operator="equal">
      <formula>"NO ADMISIBLE"</formula>
    </cfRule>
  </conditionalFormatting>
  <conditionalFormatting sqref="G62:O64">
    <cfRule type="cellIs" dxfId="112" priority="113" stopIfTrue="1" operator="equal">
      <formula>"NO ADMISIBLE"</formula>
    </cfRule>
  </conditionalFormatting>
  <conditionalFormatting sqref="E62:F62">
    <cfRule type="cellIs" dxfId="111" priority="112" stopIfTrue="1" operator="equal">
      <formula>"NO ADMISIBLE"</formula>
    </cfRule>
  </conditionalFormatting>
  <conditionalFormatting sqref="E63:E64">
    <cfRule type="cellIs" dxfId="110" priority="111" stopIfTrue="1" operator="equal">
      <formula>"NO ADMISIBLE"</formula>
    </cfRule>
  </conditionalFormatting>
  <conditionalFormatting sqref="E63:E64">
    <cfRule type="cellIs" dxfId="109" priority="110" stopIfTrue="1" operator="equal">
      <formula>"NO ADMISIBLE"</formula>
    </cfRule>
  </conditionalFormatting>
  <conditionalFormatting sqref="G58:O61">
    <cfRule type="cellIs" dxfId="108" priority="109" stopIfTrue="1" operator="equal">
      <formula>"NO ADMISIBLE"</formula>
    </cfRule>
  </conditionalFormatting>
  <conditionalFormatting sqref="E58:F58">
    <cfRule type="cellIs" dxfId="107" priority="108" stopIfTrue="1" operator="equal">
      <formula>"NO ADMISIBLE"</formula>
    </cfRule>
  </conditionalFormatting>
  <conditionalFormatting sqref="E59:E60">
    <cfRule type="cellIs" dxfId="106" priority="107" stopIfTrue="1" operator="equal">
      <formula>"NO ADMISIBLE"</formula>
    </cfRule>
  </conditionalFormatting>
  <conditionalFormatting sqref="E59:E60">
    <cfRule type="cellIs" dxfId="105" priority="106" stopIfTrue="1" operator="equal">
      <formula>"NO ADMISIBLE"</formula>
    </cfRule>
  </conditionalFormatting>
  <conditionalFormatting sqref="E61">
    <cfRule type="cellIs" dxfId="104" priority="105" stopIfTrue="1" operator="equal">
      <formula>"NO ADMISIBLE"</formula>
    </cfRule>
  </conditionalFormatting>
  <conditionalFormatting sqref="E61">
    <cfRule type="cellIs" dxfId="103" priority="104" stopIfTrue="1" operator="equal">
      <formula>"NO ADMISIBLE"</formula>
    </cfRule>
  </conditionalFormatting>
  <conditionalFormatting sqref="G54:O57">
    <cfRule type="cellIs" dxfId="102" priority="103" stopIfTrue="1" operator="equal">
      <formula>"NO ADMISIBLE"</formula>
    </cfRule>
  </conditionalFormatting>
  <conditionalFormatting sqref="E54:F54">
    <cfRule type="cellIs" dxfId="101" priority="102" stopIfTrue="1" operator="equal">
      <formula>"NO ADMISIBLE"</formula>
    </cfRule>
  </conditionalFormatting>
  <conditionalFormatting sqref="E55:E56">
    <cfRule type="cellIs" dxfId="100" priority="101" stopIfTrue="1" operator="equal">
      <formula>"NO ADMISIBLE"</formula>
    </cfRule>
  </conditionalFormatting>
  <conditionalFormatting sqref="E55:E56">
    <cfRule type="cellIs" dxfId="99" priority="100" stopIfTrue="1" operator="equal">
      <formula>"NO ADMISIBLE"</formula>
    </cfRule>
  </conditionalFormatting>
  <conditionalFormatting sqref="E57">
    <cfRule type="cellIs" dxfId="98" priority="99" stopIfTrue="1" operator="equal">
      <formula>"NO ADMISIBLE"</formula>
    </cfRule>
  </conditionalFormatting>
  <conditionalFormatting sqref="E57">
    <cfRule type="cellIs" dxfId="97" priority="98" stopIfTrue="1" operator="equal">
      <formula>"NO ADMISIBLE"</formula>
    </cfRule>
  </conditionalFormatting>
  <conditionalFormatting sqref="G120:O123">
    <cfRule type="cellIs" dxfId="95" priority="96" stopIfTrue="1" operator="equal">
      <formula>"NO ADMISIBLE"</formula>
    </cfRule>
  </conditionalFormatting>
  <conditionalFormatting sqref="E120:F120">
    <cfRule type="cellIs" dxfId="94" priority="95" stopIfTrue="1" operator="equal">
      <formula>"NO ADMISIBLE"</formula>
    </cfRule>
  </conditionalFormatting>
  <conditionalFormatting sqref="E121:E123">
    <cfRule type="cellIs" dxfId="93" priority="94" stopIfTrue="1" operator="equal">
      <formula>"NO ADMISIBLE"</formula>
    </cfRule>
  </conditionalFormatting>
  <conditionalFormatting sqref="E121:E122">
    <cfRule type="cellIs" dxfId="92" priority="93" stopIfTrue="1" operator="equal">
      <formula>"NO ADMISIBLE"</formula>
    </cfRule>
  </conditionalFormatting>
  <conditionalFormatting sqref="E123">
    <cfRule type="cellIs" dxfId="91" priority="92" stopIfTrue="1" operator="equal">
      <formula>"NO ADMISIBLE"</formula>
    </cfRule>
  </conditionalFormatting>
  <conditionalFormatting sqref="G116:O119">
    <cfRule type="cellIs" dxfId="90" priority="91" stopIfTrue="1" operator="equal">
      <formula>"NO ADMISIBLE"</formula>
    </cfRule>
  </conditionalFormatting>
  <conditionalFormatting sqref="E116:F116">
    <cfRule type="cellIs" dxfId="89" priority="90" stopIfTrue="1" operator="equal">
      <formula>"NO ADMISIBLE"</formula>
    </cfRule>
  </conditionalFormatting>
  <conditionalFormatting sqref="E117:E119">
    <cfRule type="cellIs" dxfId="88" priority="89" stopIfTrue="1" operator="equal">
      <formula>"NO ADMISIBLE"</formula>
    </cfRule>
  </conditionalFormatting>
  <conditionalFormatting sqref="E117:E118">
    <cfRule type="cellIs" dxfId="87" priority="88" stopIfTrue="1" operator="equal">
      <formula>"NO ADMISIBLE"</formula>
    </cfRule>
  </conditionalFormatting>
  <conditionalFormatting sqref="E119">
    <cfRule type="cellIs" dxfId="86" priority="87" stopIfTrue="1" operator="equal">
      <formula>"NO ADMISIBLE"</formula>
    </cfRule>
  </conditionalFormatting>
  <conditionalFormatting sqref="G113:O115">
    <cfRule type="cellIs" dxfId="85" priority="86" stopIfTrue="1" operator="equal">
      <formula>"NO ADMISIBLE"</formula>
    </cfRule>
  </conditionalFormatting>
  <conditionalFormatting sqref="E113:F113">
    <cfRule type="cellIs" dxfId="84" priority="85" stopIfTrue="1" operator="equal">
      <formula>"NO ADMISIBLE"</formula>
    </cfRule>
  </conditionalFormatting>
  <conditionalFormatting sqref="E114:E115">
    <cfRule type="cellIs" dxfId="83" priority="84" stopIfTrue="1" operator="equal">
      <formula>"NO ADMISIBLE"</formula>
    </cfRule>
  </conditionalFormatting>
  <conditionalFormatting sqref="E114:E115">
    <cfRule type="cellIs" dxfId="82" priority="83" stopIfTrue="1" operator="equal">
      <formula>"NO ADMISIBLE"</formula>
    </cfRule>
  </conditionalFormatting>
  <conditionalFormatting sqref="G109:O112">
    <cfRule type="cellIs" dxfId="81" priority="82" stopIfTrue="1" operator="equal">
      <formula>"NO ADMISIBLE"</formula>
    </cfRule>
  </conditionalFormatting>
  <conditionalFormatting sqref="E109:F109">
    <cfRule type="cellIs" dxfId="80" priority="81" stopIfTrue="1" operator="equal">
      <formula>"NO ADMISIBLE"</formula>
    </cfRule>
  </conditionalFormatting>
  <conditionalFormatting sqref="E110:E112">
    <cfRule type="cellIs" dxfId="79" priority="80" stopIfTrue="1" operator="equal">
      <formula>"NO ADMISIBLE"</formula>
    </cfRule>
  </conditionalFormatting>
  <conditionalFormatting sqref="E110:E111">
    <cfRule type="cellIs" dxfId="78" priority="79" stopIfTrue="1" operator="equal">
      <formula>"NO ADMISIBLE"</formula>
    </cfRule>
  </conditionalFormatting>
  <conditionalFormatting sqref="E112">
    <cfRule type="cellIs" dxfId="77" priority="78" stopIfTrue="1" operator="equal">
      <formula>"NO ADMISIBLE"</formula>
    </cfRule>
  </conditionalFormatting>
  <conditionalFormatting sqref="G106:O108">
    <cfRule type="cellIs" dxfId="76" priority="77" stopIfTrue="1" operator="equal">
      <formula>"NO ADMISIBLE"</formula>
    </cfRule>
  </conditionalFormatting>
  <conditionalFormatting sqref="E106:F106">
    <cfRule type="cellIs" dxfId="75" priority="76" stopIfTrue="1" operator="equal">
      <formula>"NO ADMISIBLE"</formula>
    </cfRule>
  </conditionalFormatting>
  <conditionalFormatting sqref="E107:E108">
    <cfRule type="cellIs" dxfId="74" priority="75" stopIfTrue="1" operator="equal">
      <formula>"NO ADMISIBLE"</formula>
    </cfRule>
  </conditionalFormatting>
  <conditionalFormatting sqref="E107:E108">
    <cfRule type="cellIs" dxfId="73" priority="74" stopIfTrue="1" operator="equal">
      <formula>"NO ADMISIBLE"</formula>
    </cfRule>
  </conditionalFormatting>
  <conditionalFormatting sqref="G103:O105">
    <cfRule type="cellIs" dxfId="72" priority="73" stopIfTrue="1" operator="equal">
      <formula>"NO ADMISIBLE"</formula>
    </cfRule>
  </conditionalFormatting>
  <conditionalFormatting sqref="E103:F103">
    <cfRule type="cellIs" dxfId="71" priority="72" stopIfTrue="1" operator="equal">
      <formula>"NO ADMISIBLE"</formula>
    </cfRule>
  </conditionalFormatting>
  <conditionalFormatting sqref="E104:E105">
    <cfRule type="cellIs" dxfId="70" priority="71" stopIfTrue="1" operator="equal">
      <formula>"NO ADMISIBLE"</formula>
    </cfRule>
  </conditionalFormatting>
  <conditionalFormatting sqref="E104:E105">
    <cfRule type="cellIs" dxfId="69" priority="70" stopIfTrue="1" operator="equal">
      <formula>"NO ADMISIBLE"</formula>
    </cfRule>
  </conditionalFormatting>
  <conditionalFormatting sqref="G100:O102">
    <cfRule type="cellIs" dxfId="68" priority="69" stopIfTrue="1" operator="equal">
      <formula>"NO ADMISIBLE"</formula>
    </cfRule>
  </conditionalFormatting>
  <conditionalFormatting sqref="E100:F100">
    <cfRule type="cellIs" dxfId="67" priority="68" stopIfTrue="1" operator="equal">
      <formula>"NO ADMISIBLE"</formula>
    </cfRule>
  </conditionalFormatting>
  <conditionalFormatting sqref="E101:E102">
    <cfRule type="cellIs" dxfId="66" priority="67" stopIfTrue="1" operator="equal">
      <formula>"NO ADMISIBLE"</formula>
    </cfRule>
  </conditionalFormatting>
  <conditionalFormatting sqref="E101:E102">
    <cfRule type="cellIs" dxfId="65" priority="66" stopIfTrue="1" operator="equal">
      <formula>"NO ADMISIBLE"</formula>
    </cfRule>
  </conditionalFormatting>
  <conditionalFormatting sqref="G96:O99">
    <cfRule type="cellIs" dxfId="64" priority="65" stopIfTrue="1" operator="equal">
      <formula>"NO ADMISIBLE"</formula>
    </cfRule>
  </conditionalFormatting>
  <conditionalFormatting sqref="E96:F96">
    <cfRule type="cellIs" dxfId="63" priority="64" stopIfTrue="1" operator="equal">
      <formula>"NO ADMISIBLE"</formula>
    </cfRule>
  </conditionalFormatting>
  <conditionalFormatting sqref="E97:E99">
    <cfRule type="cellIs" dxfId="62" priority="63" stopIfTrue="1" operator="equal">
      <formula>"NO ADMISIBLE"</formula>
    </cfRule>
  </conditionalFormatting>
  <conditionalFormatting sqref="E97:E98">
    <cfRule type="cellIs" dxfId="61" priority="62" stopIfTrue="1" operator="equal">
      <formula>"NO ADMISIBLE"</formula>
    </cfRule>
  </conditionalFormatting>
  <conditionalFormatting sqref="E99">
    <cfRule type="cellIs" dxfId="60" priority="61" stopIfTrue="1" operator="equal">
      <formula>"NO ADMISIBLE"</formula>
    </cfRule>
  </conditionalFormatting>
  <conditionalFormatting sqref="G92:O95">
    <cfRule type="cellIs" dxfId="59" priority="60" stopIfTrue="1" operator="equal">
      <formula>"NO ADMISIBLE"</formula>
    </cfRule>
  </conditionalFormatting>
  <conditionalFormatting sqref="E92:F92">
    <cfRule type="cellIs" dxfId="58" priority="59" stopIfTrue="1" operator="equal">
      <formula>"NO ADMISIBLE"</formula>
    </cfRule>
  </conditionalFormatting>
  <conditionalFormatting sqref="E93:E95">
    <cfRule type="cellIs" dxfId="57" priority="58" stopIfTrue="1" operator="equal">
      <formula>"NO ADMISIBLE"</formula>
    </cfRule>
  </conditionalFormatting>
  <conditionalFormatting sqref="E93:E94">
    <cfRule type="cellIs" dxfId="56" priority="57" stopIfTrue="1" operator="equal">
      <formula>"NO ADMISIBLE"</formula>
    </cfRule>
  </conditionalFormatting>
  <conditionalFormatting sqref="E95">
    <cfRule type="cellIs" dxfId="55" priority="56" stopIfTrue="1" operator="equal">
      <formula>"NO ADMISIBLE"</formula>
    </cfRule>
  </conditionalFormatting>
  <conditionalFormatting sqref="G88:O91">
    <cfRule type="cellIs" dxfId="54" priority="55" stopIfTrue="1" operator="equal">
      <formula>"NO ADMISIBLE"</formula>
    </cfRule>
  </conditionalFormatting>
  <conditionalFormatting sqref="E88:F88">
    <cfRule type="cellIs" dxfId="53" priority="54" stopIfTrue="1" operator="equal">
      <formula>"NO ADMISIBLE"</formula>
    </cfRule>
  </conditionalFormatting>
  <conditionalFormatting sqref="E89:E91">
    <cfRule type="cellIs" dxfId="52" priority="53" stopIfTrue="1" operator="equal">
      <formula>"NO ADMISIBLE"</formula>
    </cfRule>
  </conditionalFormatting>
  <conditionalFormatting sqref="E89:E90">
    <cfRule type="cellIs" dxfId="51" priority="52" stopIfTrue="1" operator="equal">
      <formula>"NO ADMISIBLE"</formula>
    </cfRule>
  </conditionalFormatting>
  <conditionalFormatting sqref="E91">
    <cfRule type="cellIs" dxfId="50" priority="51" stopIfTrue="1" operator="equal">
      <formula>"NO ADMISIBLE"</formula>
    </cfRule>
  </conditionalFormatting>
  <conditionalFormatting sqref="G161:O164">
    <cfRule type="cellIs" dxfId="49" priority="50" stopIfTrue="1" operator="equal">
      <formula>"NO ADMISIBLE"</formula>
    </cfRule>
  </conditionalFormatting>
  <conditionalFormatting sqref="E161:F161">
    <cfRule type="cellIs" dxfId="48" priority="49" stopIfTrue="1" operator="equal">
      <formula>"NO ADMISIBLE"</formula>
    </cfRule>
  </conditionalFormatting>
  <conditionalFormatting sqref="E162:E164">
    <cfRule type="cellIs" dxfId="47" priority="48" stopIfTrue="1" operator="equal">
      <formula>"NO ADMISIBLE"</formula>
    </cfRule>
  </conditionalFormatting>
  <conditionalFormatting sqref="E162:E163">
    <cfRule type="cellIs" dxfId="46" priority="47" stopIfTrue="1" operator="equal">
      <formula>"NO ADMISIBLE"</formula>
    </cfRule>
  </conditionalFormatting>
  <conditionalFormatting sqref="E164">
    <cfRule type="cellIs" dxfId="45" priority="46" stopIfTrue="1" operator="equal">
      <formula>"NO ADMISIBLE"</formula>
    </cfRule>
  </conditionalFormatting>
  <conditionalFormatting sqref="G157:O160">
    <cfRule type="cellIs" dxfId="44" priority="45" stopIfTrue="1" operator="equal">
      <formula>"NO ADMISIBLE"</formula>
    </cfRule>
  </conditionalFormatting>
  <conditionalFormatting sqref="E157:F157">
    <cfRule type="cellIs" dxfId="43" priority="44" stopIfTrue="1" operator="equal">
      <formula>"NO ADMISIBLE"</formula>
    </cfRule>
  </conditionalFormatting>
  <conditionalFormatting sqref="E158:E160">
    <cfRule type="cellIs" dxfId="42" priority="43" stopIfTrue="1" operator="equal">
      <formula>"NO ADMISIBLE"</formula>
    </cfRule>
  </conditionalFormatting>
  <conditionalFormatting sqref="E158:E159">
    <cfRule type="cellIs" dxfId="41" priority="42" stopIfTrue="1" operator="equal">
      <formula>"NO ADMISIBLE"</formula>
    </cfRule>
  </conditionalFormatting>
  <conditionalFormatting sqref="E160">
    <cfRule type="cellIs" dxfId="40" priority="41" stopIfTrue="1" operator="equal">
      <formula>"NO ADMISIBLE"</formula>
    </cfRule>
  </conditionalFormatting>
  <conditionalFormatting sqref="G154:O156">
    <cfRule type="cellIs" dxfId="39" priority="40" stopIfTrue="1" operator="equal">
      <formula>"NO ADMISIBLE"</formula>
    </cfRule>
  </conditionalFormatting>
  <conditionalFormatting sqref="E154:F154">
    <cfRule type="cellIs" dxfId="38" priority="39" stopIfTrue="1" operator="equal">
      <formula>"NO ADMISIBLE"</formula>
    </cfRule>
  </conditionalFormatting>
  <conditionalFormatting sqref="E155:E156">
    <cfRule type="cellIs" dxfId="37" priority="38" stopIfTrue="1" operator="equal">
      <formula>"NO ADMISIBLE"</formula>
    </cfRule>
  </conditionalFormatting>
  <conditionalFormatting sqref="E155:E156">
    <cfRule type="cellIs" dxfId="36" priority="37" stopIfTrue="1" operator="equal">
      <formula>"NO ADMISIBLE"</formula>
    </cfRule>
  </conditionalFormatting>
  <conditionalFormatting sqref="G150:O153">
    <cfRule type="cellIs" dxfId="35" priority="36" stopIfTrue="1" operator="equal">
      <formula>"NO ADMISIBLE"</formula>
    </cfRule>
  </conditionalFormatting>
  <conditionalFormatting sqref="E150:F150">
    <cfRule type="cellIs" dxfId="34" priority="35" stopIfTrue="1" operator="equal">
      <formula>"NO ADMISIBLE"</formula>
    </cfRule>
  </conditionalFormatting>
  <conditionalFormatting sqref="E151:E153">
    <cfRule type="cellIs" dxfId="33" priority="34" stopIfTrue="1" operator="equal">
      <formula>"NO ADMISIBLE"</formula>
    </cfRule>
  </conditionalFormatting>
  <conditionalFormatting sqref="E151:E152">
    <cfRule type="cellIs" dxfId="32" priority="33" stopIfTrue="1" operator="equal">
      <formula>"NO ADMISIBLE"</formula>
    </cfRule>
  </conditionalFormatting>
  <conditionalFormatting sqref="E153">
    <cfRule type="cellIs" dxfId="31" priority="32" stopIfTrue="1" operator="equal">
      <formula>"NO ADMISIBLE"</formula>
    </cfRule>
  </conditionalFormatting>
  <conditionalFormatting sqref="G146:O149">
    <cfRule type="cellIs" dxfId="30" priority="31" stopIfTrue="1" operator="equal">
      <formula>"NO ADMISIBLE"</formula>
    </cfRule>
  </conditionalFormatting>
  <conditionalFormatting sqref="E146:F146">
    <cfRule type="cellIs" dxfId="29" priority="30" stopIfTrue="1" operator="equal">
      <formula>"NO ADMISIBLE"</formula>
    </cfRule>
  </conditionalFormatting>
  <conditionalFormatting sqref="E147:E149">
    <cfRule type="cellIs" dxfId="28" priority="29" stopIfTrue="1" operator="equal">
      <formula>"NO ADMISIBLE"</formula>
    </cfRule>
  </conditionalFormatting>
  <conditionalFormatting sqref="E147:E148">
    <cfRule type="cellIs" dxfId="27" priority="28" stopIfTrue="1" operator="equal">
      <formula>"NO ADMISIBLE"</formula>
    </cfRule>
  </conditionalFormatting>
  <conditionalFormatting sqref="E149">
    <cfRule type="cellIs" dxfId="26" priority="27" stopIfTrue="1" operator="equal">
      <formula>"NO ADMISIBLE"</formula>
    </cfRule>
  </conditionalFormatting>
  <conditionalFormatting sqref="G142:O145">
    <cfRule type="cellIs" dxfId="25" priority="26" stopIfTrue="1" operator="equal">
      <formula>"NO ADMISIBLE"</formula>
    </cfRule>
  </conditionalFormatting>
  <conditionalFormatting sqref="E142:F142">
    <cfRule type="cellIs" dxfId="24" priority="25" stopIfTrue="1" operator="equal">
      <formula>"NO ADMISIBLE"</formula>
    </cfRule>
  </conditionalFormatting>
  <conditionalFormatting sqref="E143:E145">
    <cfRule type="cellIs" dxfId="23" priority="24" stopIfTrue="1" operator="equal">
      <formula>"NO ADMISIBLE"</formula>
    </cfRule>
  </conditionalFormatting>
  <conditionalFormatting sqref="E143:E144">
    <cfRule type="cellIs" dxfId="22" priority="23" stopIfTrue="1" operator="equal">
      <formula>"NO ADMISIBLE"</formula>
    </cfRule>
  </conditionalFormatting>
  <conditionalFormatting sqref="E145">
    <cfRule type="cellIs" dxfId="21" priority="22" stopIfTrue="1" operator="equal">
      <formula>"NO ADMISIBLE"</formula>
    </cfRule>
  </conditionalFormatting>
  <conditionalFormatting sqref="G137:O141">
    <cfRule type="cellIs" dxfId="20" priority="21" stopIfTrue="1" operator="equal">
      <formula>"NO ADMISIBLE"</formula>
    </cfRule>
  </conditionalFormatting>
  <conditionalFormatting sqref="E137:F137">
    <cfRule type="cellIs" dxfId="19" priority="20" stopIfTrue="1" operator="equal">
      <formula>"NO ADMISIBLE"</formula>
    </cfRule>
  </conditionalFormatting>
  <conditionalFormatting sqref="E138:E141">
    <cfRule type="cellIs" dxfId="18" priority="19" stopIfTrue="1" operator="equal">
      <formula>"NO ADMISIBLE"</formula>
    </cfRule>
  </conditionalFormatting>
  <conditionalFormatting sqref="E138:E141">
    <cfRule type="cellIs" dxfId="17" priority="18" stopIfTrue="1" operator="equal">
      <formula>"NO ADMISIBLE"</formula>
    </cfRule>
  </conditionalFormatting>
  <conditionalFormatting sqref="G134:O136">
    <cfRule type="cellIs" dxfId="16" priority="17" stopIfTrue="1" operator="equal">
      <formula>"NO ADMISIBLE"</formula>
    </cfRule>
  </conditionalFormatting>
  <conditionalFormatting sqref="E134:F134">
    <cfRule type="cellIs" dxfId="15" priority="16" stopIfTrue="1" operator="equal">
      <formula>"NO ADMISIBLE"</formula>
    </cfRule>
  </conditionalFormatting>
  <conditionalFormatting sqref="E135:E136">
    <cfRule type="cellIs" dxfId="14" priority="15" stopIfTrue="1" operator="equal">
      <formula>"NO ADMISIBLE"</formula>
    </cfRule>
  </conditionalFormatting>
  <conditionalFormatting sqref="E135:E136">
    <cfRule type="cellIs" dxfId="13" priority="14" stopIfTrue="1" operator="equal">
      <formula>"NO ADMISIBLE"</formula>
    </cfRule>
  </conditionalFormatting>
  <conditionalFormatting sqref="G131:O133">
    <cfRule type="cellIs" dxfId="12" priority="13" stopIfTrue="1" operator="equal">
      <formula>"NO ADMISIBLE"</formula>
    </cfRule>
  </conditionalFormatting>
  <conditionalFormatting sqref="E131:F131">
    <cfRule type="cellIs" dxfId="11" priority="12" stopIfTrue="1" operator="equal">
      <formula>"NO ADMISIBLE"</formula>
    </cfRule>
  </conditionalFormatting>
  <conditionalFormatting sqref="E132:E133">
    <cfRule type="cellIs" dxfId="10" priority="11" stopIfTrue="1" operator="equal">
      <formula>"NO ADMISIBLE"</formula>
    </cfRule>
  </conditionalFormatting>
  <conditionalFormatting sqref="E132:E133">
    <cfRule type="cellIs" dxfId="9" priority="10" stopIfTrue="1" operator="equal">
      <formula>"NO ADMISIBLE"</formula>
    </cfRule>
  </conditionalFormatting>
  <conditionalFormatting sqref="G128:O130">
    <cfRule type="cellIs" dxfId="8" priority="9" stopIfTrue="1" operator="equal">
      <formula>"NO ADMISIBLE"</formula>
    </cfRule>
  </conditionalFormatting>
  <conditionalFormatting sqref="E128:F128">
    <cfRule type="cellIs" dxfId="7" priority="8" stopIfTrue="1" operator="equal">
      <formula>"NO ADMISIBLE"</formula>
    </cfRule>
  </conditionalFormatting>
  <conditionalFormatting sqref="E129:E130">
    <cfRule type="cellIs" dxfId="6" priority="7" stopIfTrue="1" operator="equal">
      <formula>"NO ADMISIBLE"</formula>
    </cfRule>
  </conditionalFormatting>
  <conditionalFormatting sqref="E129:E130">
    <cfRule type="cellIs" dxfId="5" priority="6" stopIfTrue="1" operator="equal">
      <formula>"NO ADMISIBLE"</formula>
    </cfRule>
  </conditionalFormatting>
  <conditionalFormatting sqref="G124:O127">
    <cfRule type="cellIs" dxfId="4" priority="5" stopIfTrue="1" operator="equal">
      <formula>"NO ADMISIBLE"</formula>
    </cfRule>
  </conditionalFormatting>
  <conditionalFormatting sqref="E124:F124">
    <cfRule type="cellIs" dxfId="3" priority="4" stopIfTrue="1" operator="equal">
      <formula>"NO ADMISIBLE"</formula>
    </cfRule>
  </conditionalFormatting>
  <conditionalFormatting sqref="E125:E127">
    <cfRule type="cellIs" dxfId="2" priority="3" stopIfTrue="1" operator="equal">
      <formula>"NO ADMISIBLE"</formula>
    </cfRule>
  </conditionalFormatting>
  <conditionalFormatting sqref="E125:E126">
    <cfRule type="cellIs" dxfId="1" priority="2" stopIfTrue="1" operator="equal">
      <formula>"NO ADMISIBLE"</formula>
    </cfRule>
  </conditionalFormatting>
  <conditionalFormatting sqref="E127">
    <cfRule type="cellIs" dxfId="0" priority="1" stopIfTrue="1" operator="equal">
      <formula>"NO ADMISIBLE"</formula>
    </cfRule>
  </conditionalFormatting>
  <dataValidations count="1">
    <dataValidation type="list" allowBlank="1" showInputMessage="1" showErrorMessage="1" sqref="I50 K50 I46 K46 I43 K43 I39 K39 I36 K36 I30 K30 I27 K27 I23 K23 I19 K19 I16 K16 I54 K54 I86 K86 I82 K82 I79 K79 I75 K75 I72 K72 I68 K68 I65 K65 I62 K62 I58 K58 I120 K120 I116 K116 I113 K113 I109 K109 I106 K106 I103 K103 I100 K100 I96 K96 I92 K92 I88 K88 I161 K161 I157 K157 I154 K154 I150 K150 I146 K146 I142 K142 I137 K137 I134 K134 I131 K131 I128 K128 I124 K124" xr:uid="{F3EBF638-AEC1-4A8A-AC5D-C466A0A3B949}">
      <formula1>"SI,NO"</formula1>
    </dataValidation>
  </dataValidations>
  <pageMargins left="0.23622047244094491" right="0.23622047244094491" top="0.35433070866141736" bottom="0.35433070866141736" header="0.19685039370078741" footer="0"/>
  <pageSetup scale="24" orientation="landscape"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Macro1">
                <anchor moveWithCells="1" sizeWithCells="1">
                  <from>
                    <xdr:col>0</xdr:col>
                    <xdr:colOff>50800</xdr:colOff>
                    <xdr:row>2</xdr:row>
                    <xdr:rowOff>12700</xdr:rowOff>
                  </from>
                  <to>
                    <xdr:col>1</xdr:col>
                    <xdr:colOff>228600</xdr:colOff>
                    <xdr:row>2</xdr:row>
                    <xdr:rowOff>177800</xdr:rowOff>
                  </to>
                </anchor>
              </controlPr>
            </control>
          </mc:Choice>
        </mc:AlternateContent>
        <mc:AlternateContent xmlns:mc="http://schemas.openxmlformats.org/markup-compatibility/2006">
          <mc:Choice Requires="x14">
            <control shapeId="1026" r:id="rId5" name="Button 2">
              <controlPr defaultSize="0" print="0" autoFill="0" autoPict="0" macro="[0]!Macro3">
                <anchor moveWithCells="1" sizeWithCells="1">
                  <from>
                    <xdr:col>0</xdr:col>
                    <xdr:colOff>50800</xdr:colOff>
                    <xdr:row>3</xdr:row>
                    <xdr:rowOff>25400</xdr:rowOff>
                  </from>
                  <to>
                    <xdr:col>1</xdr:col>
                    <xdr:colOff>215900</xdr:colOff>
                    <xdr:row>3</xdr:row>
                    <xdr:rowOff>190500</xdr:rowOff>
                  </to>
                </anchor>
              </controlPr>
            </control>
          </mc:Choice>
        </mc:AlternateContent>
        <mc:AlternateContent xmlns:mc="http://schemas.openxmlformats.org/markup-compatibility/2006">
          <mc:Choice Requires="x14">
            <control shapeId="1027" r:id="rId6" name="Button 3">
              <controlPr defaultSize="0" print="0" autoFill="0" autoPict="0" macro="[0]!Macro5">
                <anchor moveWithCells="1" sizeWithCells="1">
                  <from>
                    <xdr:col>0</xdr:col>
                    <xdr:colOff>50800</xdr:colOff>
                    <xdr:row>4</xdr:row>
                    <xdr:rowOff>12700</xdr:rowOff>
                  </from>
                  <to>
                    <xdr:col>1</xdr:col>
                    <xdr:colOff>228600</xdr:colOff>
                    <xdr:row>4</xdr:row>
                    <xdr:rowOff>177800</xdr:rowOff>
                  </to>
                </anchor>
              </controlPr>
            </control>
          </mc:Choice>
        </mc:AlternateContent>
        <mc:AlternateContent xmlns:mc="http://schemas.openxmlformats.org/markup-compatibility/2006">
          <mc:Choice Requires="x14">
            <control shapeId="1031" r:id="rId7" name="Button 7">
              <controlPr defaultSize="0" print="0" autoFill="0" autoPict="0" macro="[0]!Macro2">
                <anchor moveWithCells="1" sizeWithCells="1">
                  <from>
                    <xdr:col>2</xdr:col>
                    <xdr:colOff>228600</xdr:colOff>
                    <xdr:row>2</xdr:row>
                    <xdr:rowOff>152400</xdr:rowOff>
                  </from>
                  <to>
                    <xdr:col>2</xdr:col>
                    <xdr:colOff>609600</xdr:colOff>
                    <xdr:row>3</xdr:row>
                    <xdr:rowOff>127000</xdr:rowOff>
                  </to>
                </anchor>
              </controlPr>
            </control>
          </mc:Choice>
        </mc:AlternateContent>
        <mc:AlternateContent xmlns:mc="http://schemas.openxmlformats.org/markup-compatibility/2006">
          <mc:Choice Requires="x14">
            <control shapeId="1032" r:id="rId8" name="Button 8">
              <controlPr defaultSize="0" print="0" autoFill="0" autoPict="0" macro="[0]!Macro4">
                <anchor moveWithCells="1" sizeWithCells="1">
                  <from>
                    <xdr:col>2</xdr:col>
                    <xdr:colOff>228600</xdr:colOff>
                    <xdr:row>3</xdr:row>
                    <xdr:rowOff>165100</xdr:rowOff>
                  </from>
                  <to>
                    <xdr:col>2</xdr:col>
                    <xdr:colOff>596900</xdr:colOff>
                    <xdr:row>4</xdr:row>
                    <xdr:rowOff>139700</xdr:rowOff>
                  </to>
                </anchor>
              </controlPr>
            </control>
          </mc:Choice>
        </mc:AlternateContent>
        <mc:AlternateContent xmlns:mc="http://schemas.openxmlformats.org/markup-compatibility/2006">
          <mc:Choice Requires="x14">
            <control shapeId="1033" r:id="rId9" name="Button 9">
              <controlPr defaultSize="0" print="0" autoFill="0" autoPict="0" macro="[0]!Macro7">
                <anchor moveWithCells="1" sizeWithCells="1">
                  <from>
                    <xdr:col>0</xdr:col>
                    <xdr:colOff>241300</xdr:colOff>
                    <xdr:row>5</xdr:row>
                    <xdr:rowOff>101600</xdr:rowOff>
                  </from>
                  <to>
                    <xdr:col>2</xdr:col>
                    <xdr:colOff>495300</xdr:colOff>
                    <xdr:row>6</xdr:row>
                    <xdr:rowOff>101600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F70D6D-CF5C-4014-AF26-0D8AC660D9A9}">
  <sheetPr codeName="Hoja4"/>
  <dimension ref="A1"/>
  <sheetViews>
    <sheetView workbookViewId="0">
      <selection activeCell="C15" sqref="C15"/>
    </sheetView>
  </sheetViews>
  <sheetFormatPr baseColWidth="10" defaultColWidth="11.5" defaultRowHeight="15" x14ac:dyDescent="0.2"/>
  <cols>
    <col min="8" max="8" width="13.5" customWidth="1"/>
    <col min="16" max="16" width="13.5" customWidth="1"/>
    <col min="18" max="18" width="12.5" customWidth="1"/>
  </cols>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a4922c0-ef49-4605-a329-7b73216a1a3b" xsi:nil="true"/>
    <lcf76f155ced4ddcb4097134ff3c332f xmlns="4b0274d0-787b-4324-b50e-0cbc2ec2ba1b">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E2DF9C2A717924C91B69D5D349B9546" ma:contentTypeVersion="16" ma:contentTypeDescription="Crear nuevo documento." ma:contentTypeScope="" ma:versionID="b608b9ece2db6bc96b0ba68f346930c7">
  <xsd:schema xmlns:xsd="http://www.w3.org/2001/XMLSchema" xmlns:xs="http://www.w3.org/2001/XMLSchema" xmlns:p="http://schemas.microsoft.com/office/2006/metadata/properties" xmlns:ns2="4b0274d0-787b-4324-b50e-0cbc2ec2ba1b" xmlns:ns3="4a4922c0-ef49-4605-a329-7b73216a1a3b" targetNamespace="http://schemas.microsoft.com/office/2006/metadata/properties" ma:root="true" ma:fieldsID="35702e36ff82d0789656fab8af5f1444" ns2:_="" ns3:_="">
    <xsd:import namespace="4b0274d0-787b-4324-b50e-0cbc2ec2ba1b"/>
    <xsd:import namespace="4a4922c0-ef49-4605-a329-7b73216a1a3b"/>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0274d0-787b-4324-b50e-0cbc2ec2ba1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a4922c0-ef49-4605-a329-7b73216a1a3b"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cf835297-e739-4386-becf-4a0fdc8a8939}" ma:internalName="TaxCatchAll" ma:showField="CatchAllData" ma:web="4a4922c0-ef49-4605-a329-7b73216a1a3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1862C65-1E3F-48B3-B74F-9BB28F47CC3F}">
  <ds:schemaRefs>
    <ds:schemaRef ds:uri="http://schemas.microsoft.com/office/2006/metadata/properties"/>
    <ds:schemaRef ds:uri="http://www.w3.org/2000/xmlns/"/>
    <ds:schemaRef ds:uri="4a4922c0-ef49-4605-a329-7b73216a1a3b"/>
    <ds:schemaRef ds:uri="http://www.w3.org/2001/XMLSchema-instance"/>
    <ds:schemaRef ds:uri="4b0274d0-787b-4324-b50e-0cbc2ec2ba1b"/>
    <ds:schemaRef ds:uri="http://schemas.microsoft.com/office/infopath/2007/PartnerControls"/>
  </ds:schemaRefs>
</ds:datastoreItem>
</file>

<file path=customXml/itemProps2.xml><?xml version="1.0" encoding="utf-8"?>
<ds:datastoreItem xmlns:ds="http://schemas.openxmlformats.org/officeDocument/2006/customXml" ds:itemID="{1785298E-9488-475A-8225-ACEAB082D9F2}">
  <ds:schemaRefs>
    <ds:schemaRef ds:uri="http://schemas.microsoft.com/office/2006/metadata/contentType"/>
    <ds:schemaRef ds:uri="http://schemas.microsoft.com/office/2006/metadata/properties/metaAttributes"/>
    <ds:schemaRef ds:uri="http://www.w3.org/2000/xmlns/"/>
    <ds:schemaRef ds:uri="http://www.w3.org/2001/XMLSchema"/>
    <ds:schemaRef ds:uri="4b0274d0-787b-4324-b50e-0cbc2ec2ba1b"/>
    <ds:schemaRef ds:uri="4a4922c0-ef49-4605-a329-7b73216a1a3b"/>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8D5943B-E552-4DCA-B5F5-F079DBFB7C6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DATOS INICIALES</vt:lpstr>
      <vt:lpstr>EVALUACION</vt:lpstr>
      <vt:lpstr>Hoja1</vt:lpstr>
      <vt:lpstr>EVALUACION!Área_de_impresión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ALEJANDRA MARTINEZ</dc:creator>
  <cp:keywords/>
  <dc:description/>
  <cp:lastModifiedBy>LUZ AIDA SOSA </cp:lastModifiedBy>
  <cp:revision/>
  <cp:lastPrinted>2024-01-20T21:36:43Z</cp:lastPrinted>
  <dcterms:created xsi:type="dcterms:W3CDTF">2023-03-15T16:28:08Z</dcterms:created>
  <dcterms:modified xsi:type="dcterms:W3CDTF">2026-03-25T01:09:50Z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0x010100CE2DF9C2A717924C91B69D5D349B9546</vt:lpwstr>
  </property>
</Properties>
</file>